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-12" yWindow="-12" windowWidth="20136" windowHeight="14268" activeTab="1"/>
  </bookViews>
  <sheets>
    <sheet name="BufferBaseline" sheetId="1" r:id="rId1"/>
    <sheet name="Funds" sheetId="2" r:id="rId2"/>
    <sheet name="Conservative" sheetId="3" r:id="rId3"/>
    <sheet name="Moderate" sheetId="5" r:id="rId4"/>
    <sheet name="Aggressive" sheetId="6" r:id="rId5"/>
  </sheets>
  <definedNames>
    <definedName name="ABBV_1">Funds!$D$78</definedName>
    <definedName name="ABBV_2">Funds!$E$78</definedName>
    <definedName name="ABBV_3">Funds!$F$78</definedName>
    <definedName name="ABBV_4">Funds!$I$78</definedName>
    <definedName name="ABBV_5">Funds!$J$78</definedName>
    <definedName name="ABBV_6">Funds!$K$78</definedName>
    <definedName name="ARKG_1">Funds!$D$70</definedName>
    <definedName name="ARKG_2">Funds!$E$70</definedName>
    <definedName name="ARKG_3">Funds!$F$70</definedName>
    <definedName name="ARKG_4">Funds!$I$70</definedName>
    <definedName name="ARKG_5">Funds!$J$70</definedName>
    <definedName name="ARKG_6">Funds!$K$70</definedName>
    <definedName name="AWF_1">Funds!$D$16</definedName>
    <definedName name="AWF_2">Funds!$E$16</definedName>
    <definedName name="AWF_3">Funds!$F$16</definedName>
    <definedName name="AWF_4">Funds!$I$16</definedName>
    <definedName name="AWF_5">Funds!$J$16</definedName>
    <definedName name="AWF_6">Funds!$K$16</definedName>
    <definedName name="BL">BufferBaseline!$C$4</definedName>
    <definedName name="BNDW_1">Funds!$D$12</definedName>
    <definedName name="BNDW_2">Funds!$E$12</definedName>
    <definedName name="BNDW_3">Funds!$F$12</definedName>
    <definedName name="BNDW_4">Funds!$I$12</definedName>
    <definedName name="BNDW_5">Funds!$J$12</definedName>
    <definedName name="BNDW_6">Funds!$K$12</definedName>
    <definedName name="BufferBaseline">BufferBaseline!$C$14</definedName>
    <definedName name="BufferPercent">BufferBaseline!$C$15</definedName>
    <definedName name="CCL_1">Funds!$D$79</definedName>
    <definedName name="CCL_2">Funds!$E$79</definedName>
    <definedName name="CCL_3">Funds!$F$79</definedName>
    <definedName name="CCL_4">Funds!$I$79</definedName>
    <definedName name="CCL_5">Funds!$J$79</definedName>
    <definedName name="CCL_6">Funds!$K$79</definedName>
    <definedName name="CL">BufferBaseline!$C$6</definedName>
    <definedName name="DEA_1">Funds!$D$60</definedName>
    <definedName name="DEA_2">Funds!$E$60</definedName>
    <definedName name="DEA_3">Funds!$F$60</definedName>
    <definedName name="DEA_4">Funds!$I$60</definedName>
    <definedName name="DEA_5">Funds!$J$60</definedName>
    <definedName name="DEA_6">Funds!$K$60</definedName>
    <definedName name="DLR_1">Funds!$D$62</definedName>
    <definedName name="DLR_2">Funds!$E$62</definedName>
    <definedName name="DLR_3">Funds!$F$62</definedName>
    <definedName name="DLR_4">Funds!$I$62</definedName>
    <definedName name="DLR_5">Funds!$J$62</definedName>
    <definedName name="DLR_6">Funds!$K$62</definedName>
    <definedName name="FSHBX_1">Funds!$D$8</definedName>
    <definedName name="FSHBX_2">Funds!$E$8</definedName>
    <definedName name="FSHBX_3">Funds!$F$8</definedName>
    <definedName name="FSHBX_4">Funds!$I$8</definedName>
    <definedName name="FSHBX_5">Funds!$J$8</definedName>
    <definedName name="FSHBX_6">Funds!$K$8</definedName>
    <definedName name="GHYG_1">Funds!$D$15</definedName>
    <definedName name="GHYG_2">Funds!$E$15</definedName>
    <definedName name="GHYG_3">Funds!$F$15</definedName>
    <definedName name="GHYG_4">Funds!$I$15</definedName>
    <definedName name="GHYG_5">Funds!$J$15</definedName>
    <definedName name="GHYG_6">Funds!$K$15</definedName>
    <definedName name="GM_1">Funds!$D$80</definedName>
    <definedName name="GM_2">Funds!$E$80</definedName>
    <definedName name="GM_3">Funds!$F$80</definedName>
    <definedName name="GM_4">Funds!$I$80</definedName>
    <definedName name="GM_5">Funds!$J$80</definedName>
    <definedName name="GM_6">Funds!$K$80</definedName>
    <definedName name="IBM_1">Funds!$D$81</definedName>
    <definedName name="IBM_2">Funds!$E$81</definedName>
    <definedName name="IBM_3">Funds!$F$81</definedName>
    <definedName name="IBM_5">Funds!$I$81</definedName>
    <definedName name="IBM_6">Funds!$J$81</definedName>
    <definedName name="IBM_7">Funds!$K$81</definedName>
    <definedName name="ICLN_1">Funds!$D$71</definedName>
    <definedName name="ICLN_2">Funds!$E$71</definedName>
    <definedName name="ICLN_3">Funds!$F$71</definedName>
    <definedName name="ICLN_4">Funds!$I$71</definedName>
    <definedName name="ICLN_5">Funds!$J$71</definedName>
    <definedName name="ICLN_6">Funds!$K$71</definedName>
    <definedName name="IDV_1">Funds!$D$25</definedName>
    <definedName name="IDV_2">Funds!$E$25</definedName>
    <definedName name="IDV_3">Funds!$F$25</definedName>
    <definedName name="IDV_4">Funds!$I$25</definedName>
    <definedName name="IDV_5">Funds!$J$25</definedName>
    <definedName name="IDV_6">Funds!$K$25</definedName>
    <definedName name="JETS_1">Funds!$D$72</definedName>
    <definedName name="JETS_2">Funds!$E$72</definedName>
    <definedName name="JETS_3">Funds!$F$72</definedName>
    <definedName name="JETS_4">Funds!$I$72</definedName>
    <definedName name="JETS_5">Funds!$J$72</definedName>
    <definedName name="JETS_6">Funds!$K$72</definedName>
    <definedName name="MORT_1">Funds!$D$63</definedName>
    <definedName name="MORT_2">Funds!$E$63</definedName>
    <definedName name="MORT_3">Funds!$F$63</definedName>
    <definedName name="MORT_4">Funds!$I$63</definedName>
    <definedName name="MORT_5">Funds!$J$63</definedName>
    <definedName name="MORT_6">Funds!$K$63</definedName>
    <definedName name="NCLH_">Funds!$K$82</definedName>
    <definedName name="NCLH_1">Funds!$D$82</definedName>
    <definedName name="NCLH_2">Funds!$E$82</definedName>
    <definedName name="NCLH_3">Funds!$F$82</definedName>
    <definedName name="NCLH_4">Funds!$I$82</definedName>
    <definedName name="NCLH_5">Funds!$J$82</definedName>
    <definedName name="PCN_1">Funds!$D$17</definedName>
    <definedName name="PCN_2">Funds!$E$17</definedName>
    <definedName name="PCN_3">Funds!$F$17</definedName>
    <definedName name="PCN_4">Funds!$I$17</definedName>
    <definedName name="PCN_5">Funds!$J$17</definedName>
    <definedName name="PCN_6">Funds!$K$17</definedName>
    <definedName name="PFF_1">Funds!$D$24</definedName>
    <definedName name="PFF_2">Funds!$E$24</definedName>
    <definedName name="PFF_3">Funds!$F$24</definedName>
    <definedName name="PFF_4">Funds!$I$24</definedName>
    <definedName name="PFF_5">Funds!$J$24</definedName>
    <definedName name="PFF_6">Funds!$K$24</definedName>
    <definedName name="PFFD_1">Funds!$D$23</definedName>
    <definedName name="PFFD_2">Funds!$E$23</definedName>
    <definedName name="PFFD_3">Funds!$F$23</definedName>
    <definedName name="PFFD_4">Funds!$I$23</definedName>
    <definedName name="PFFD_5">Funds!$J$23</definedName>
    <definedName name="PFFD_6">Funds!$K$23</definedName>
    <definedName name="PPEFX_1">Funds!$D$9</definedName>
    <definedName name="PPEFX_2">Funds!$E$9</definedName>
    <definedName name="PPEFX_3">Funds!$F$9</definedName>
    <definedName name="PPEFX_4">Funds!$I$9</definedName>
    <definedName name="PPEFX_5">Funds!$J$9</definedName>
    <definedName name="PPEFX_6">Funds!$K$9</definedName>
    <definedName name="_xlnm.Print_Area" localSheetId="4">Aggressive!$B$2:$O$59</definedName>
    <definedName name="_xlnm.Print_Area" localSheetId="0">BufferBaseline!$A$1:$P$57</definedName>
    <definedName name="_xlnm.Print_Area" localSheetId="2">Conservative!$B$2:$O$58</definedName>
    <definedName name="_xlnm.Print_Area" localSheetId="1">Funds!$B$2:$L$88</definedName>
    <definedName name="_xlnm.Print_Area" localSheetId="3">Moderate!$B$2:$O$61</definedName>
    <definedName name="_xlnm.Print_Titles" localSheetId="2">Conservative!$1:$16</definedName>
    <definedName name="_xlnm.Print_Titles" localSheetId="1">Funds!$2:$4</definedName>
    <definedName name="RCL_1">Funds!$D$83</definedName>
    <definedName name="RCL_2">Funds!$E$83</definedName>
    <definedName name="RCL_3">Funds!$F$83</definedName>
    <definedName name="RCL_4">Funds!$I$83</definedName>
    <definedName name="RCL_5">Funds!$J$83</definedName>
    <definedName name="RCL_6">Funds!$K$83</definedName>
    <definedName name="RF">BufferBaseline!$C$5</definedName>
    <definedName name="RW">BufferBaseline!$C$11</definedName>
    <definedName name="SDIV_1">Funds!$D$26</definedName>
    <definedName name="SDIV_2">Funds!$E$26</definedName>
    <definedName name="SDIV_3">Funds!$F$26</definedName>
    <definedName name="SDIV_4">Funds!$I$26</definedName>
    <definedName name="SDIV_5">Funds!$J$26</definedName>
    <definedName name="SDIV_6">Funds!$K$26</definedName>
    <definedName name="SI">BufferBaseline!$C$7</definedName>
    <definedName name="SJNK_1">Funds!$D$14</definedName>
    <definedName name="SJNK_2">Funds!$E$14</definedName>
    <definedName name="SJNK_3">Funds!$F$14</definedName>
    <definedName name="SJNK_4">Funds!$I$14</definedName>
    <definedName name="SJNK_5">Funds!$J$14</definedName>
    <definedName name="SJNK_6">Funds!$K$14</definedName>
    <definedName name="SYY_1">Funds!$D$84</definedName>
    <definedName name="SYY_2">Funds!$E$84</definedName>
    <definedName name="SYY_3">Funds!$F$84</definedName>
    <definedName name="SYY_4">Funds!$I$84</definedName>
    <definedName name="SYY_5">Funds!$J$84</definedName>
    <definedName name="SYY_6">Funds!$K$84</definedName>
    <definedName name="T_1">Funds!$D$85</definedName>
    <definedName name="T_2">Funds!$E$85</definedName>
    <definedName name="T_3">Funds!$F$85</definedName>
    <definedName name="T_4">Funds!$I$85</definedName>
    <definedName name="T_5">Funds!$J$85</definedName>
    <definedName name="T_6">Funds!$K$85</definedName>
    <definedName name="TB">BufferBaseline!$C$8</definedName>
    <definedName name="TOTL_1">Funds!$D$10</definedName>
    <definedName name="TOTL_2">Funds!$E$10</definedName>
    <definedName name="TOTL_3">Funds!$F$10</definedName>
    <definedName name="TOTL_4">Funds!$I$10</definedName>
    <definedName name="TOTL_5">Funds!$J$10</definedName>
    <definedName name="TOTL_6">Funds!$K$10</definedName>
    <definedName name="USHY_1">Funds!$D$13</definedName>
    <definedName name="USHY_2">Funds!$E$13</definedName>
    <definedName name="USHY_3">Funds!$F$13</definedName>
    <definedName name="USHY_4">Funds!$I$13</definedName>
    <definedName name="USHY_5">Funds!$J$13</definedName>
    <definedName name="USHY_6">Funds!$K$13</definedName>
    <definedName name="VAW_1">Funds!$D$44</definedName>
    <definedName name="VAW_2">Funds!$E$44</definedName>
    <definedName name="VAW_3">Funds!$F$44</definedName>
    <definedName name="VAW_4">Funds!$I$44</definedName>
    <definedName name="VAW_5">Funds!$J$44</definedName>
    <definedName name="VAW_6">Funds!$K$44</definedName>
    <definedName name="VCR_1">Funds!$D$45</definedName>
    <definedName name="VCR_2">Funds!$E$45</definedName>
    <definedName name="VCR_3">Funds!$F$45</definedName>
    <definedName name="VCR_4">Funds!$I$45</definedName>
    <definedName name="VCR_5">Funds!$J$45</definedName>
    <definedName name="VCR_6">Funds!$K$45</definedName>
    <definedName name="VDC_1">Funds!$D$46</definedName>
    <definedName name="VDC_2">Funds!$E$46</definedName>
    <definedName name="VDC_3">Funds!$F$46</definedName>
    <definedName name="VDC_4">Funds!$I$46</definedName>
    <definedName name="VDC_5">Funds!$J$46</definedName>
    <definedName name="VDC_6">Funds!$K$46</definedName>
    <definedName name="VFH_1">Funds!$D$47</definedName>
    <definedName name="VFH_2">Funds!$E$47</definedName>
    <definedName name="VFH_3">Funds!$F$47</definedName>
    <definedName name="VFH_4">Funds!$I$47</definedName>
    <definedName name="VFH_5">Funds!$J$47</definedName>
    <definedName name="VFH_6">Funds!$K$47</definedName>
    <definedName name="VFMV_1">Funds!$D$36</definedName>
    <definedName name="VFMV_2">Funds!$E$36</definedName>
    <definedName name="VFMV_3">Funds!$F$36</definedName>
    <definedName name="VFMV_4">Funds!$I$36</definedName>
    <definedName name="VFMV_5">Funds!$J$36</definedName>
    <definedName name="VFMV_6">Funds!$K$36</definedName>
    <definedName name="VGT_1">Funds!$D$48</definedName>
    <definedName name="VGT_2">Funds!$E$48</definedName>
    <definedName name="VGT_3">Funds!$F$48</definedName>
    <definedName name="VGT_4">Funds!$I$48</definedName>
    <definedName name="VGT_5">Funds!$J$48</definedName>
    <definedName name="VGT_6">Funds!$K$48</definedName>
    <definedName name="VIS_1">Funds!$D$49</definedName>
    <definedName name="VIS_2">Funds!$E$49</definedName>
    <definedName name="VIS_3">Funds!$F$49</definedName>
    <definedName name="VIS_4">Funds!$I$49</definedName>
    <definedName name="VIS_5">Funds!$J$49</definedName>
    <definedName name="VIS_6">Funds!$K$49</definedName>
    <definedName name="VNQ_1">Funds!$D$50</definedName>
    <definedName name="VNQ_2">Funds!$E$50</definedName>
    <definedName name="VNQ_3">Funds!$F$50</definedName>
    <definedName name="VNQ_4">Funds!$I$50</definedName>
    <definedName name="VNQ_5">Funds!$J$50</definedName>
    <definedName name="VNQ_6">Funds!$K$50</definedName>
    <definedName name="VPU_1">Funds!$D$51</definedName>
    <definedName name="VPU_2">Funds!$E$51</definedName>
    <definedName name="VPU_3">Funds!$F$51</definedName>
    <definedName name="VPU_4">Funds!$I$51</definedName>
    <definedName name="VPU_5">Funds!$J$51</definedName>
    <definedName name="VPU_6">Funds!$K$51</definedName>
    <definedName name="VSCSX_1">Funds!$D$11</definedName>
    <definedName name="VSCSX_2">Funds!$E$11</definedName>
    <definedName name="VSCSX_3">Funds!$F$11</definedName>
    <definedName name="VSCSX_4">Funds!$I$11</definedName>
    <definedName name="VSCSX_5">Funds!$J$11</definedName>
    <definedName name="VSCSX_6">Funds!$K$11</definedName>
    <definedName name="VSS_1">Funds!$D$34</definedName>
    <definedName name="VSS_2">Funds!$E$34</definedName>
    <definedName name="VSS_3">Funds!$F$34</definedName>
    <definedName name="VSS_4">Funds!$I$34</definedName>
    <definedName name="VSS_5">Funds!$J$34</definedName>
    <definedName name="VSS_6">Funds!$K$34</definedName>
    <definedName name="VT_1">Funds!$D$32</definedName>
    <definedName name="VT_2">Funds!$E$32</definedName>
    <definedName name="VT_3">Funds!$F$32</definedName>
    <definedName name="VT_4">Funds!$I$32</definedName>
    <definedName name="VT_5">Funds!$J$32</definedName>
    <definedName name="VT_6">Funds!$K$32</definedName>
    <definedName name="VTI_1">Funds!$D$35</definedName>
    <definedName name="VTI_2">Funds!$E$35</definedName>
    <definedName name="VTI_3">Funds!$F$35</definedName>
    <definedName name="VTI_4">Funds!$I$35</definedName>
    <definedName name="VTI_5">Funds!$J$35</definedName>
    <definedName name="VTI_6">Funds!$K$35</definedName>
    <definedName name="VTWO_1">Funds!$D$37</definedName>
    <definedName name="VTWO_2">Funds!$E$37</definedName>
    <definedName name="VTWO_3">Funds!$F$37</definedName>
    <definedName name="VTWO_4">Funds!$I$37</definedName>
    <definedName name="VTWO_5">Funds!$J$37</definedName>
    <definedName name="VTWO_6">Funds!$K$37</definedName>
    <definedName name="VXUS_1">Funds!$D$33</definedName>
    <definedName name="VXUS_2">Funds!$E$33</definedName>
    <definedName name="VXUS_3">Funds!$F$33</definedName>
    <definedName name="VXUS_4">Funds!$I$33</definedName>
    <definedName name="VXUS_5">Funds!$J$33</definedName>
    <definedName name="VXUS_6">Funds!$K$33</definedName>
    <definedName name="XLC_1">Funds!$D$52</definedName>
    <definedName name="XLC_2">Funds!$E$52</definedName>
    <definedName name="XLC_3">Funds!$F$52</definedName>
    <definedName name="XLC_4">Funds!$I$52</definedName>
    <definedName name="XLC_5">Funds!$J$52</definedName>
    <definedName name="XLC_6">Funds!$K$52</definedName>
    <definedName name="XLE_1">Funds!$D$53</definedName>
    <definedName name="XLE_2">Funds!$E$53</definedName>
    <definedName name="XLE_3">Funds!$F$53</definedName>
    <definedName name="XLE_4">Funds!$I$53</definedName>
    <definedName name="XLE_5">Funds!$J$53</definedName>
    <definedName name="XLE_6">Funds!$K$53</definedName>
    <definedName name="XLV_1">Funds!$D$54</definedName>
    <definedName name="XLV_2">Funds!$E$54</definedName>
    <definedName name="XLV_3">Funds!$F$54</definedName>
    <definedName name="XLV_4">Funds!$I$54</definedName>
    <definedName name="XLV_5">Funds!$J$54</definedName>
    <definedName name="XLV_6">Funds!$K$54</definedName>
    <definedName name="XSLV_1">Funds!$D$38</definedName>
    <definedName name="XSLV_2">Funds!$E$38</definedName>
    <definedName name="XSLV_3">Funds!$F$38</definedName>
    <definedName name="XSLV_4">Funds!$I$38</definedName>
    <definedName name="XSLV_5">Funds!$J$38</definedName>
    <definedName name="XSLV_6">Funds!$K$38</definedName>
    <definedName name="YearsToRetire">BufferBaseline!$C$9</definedName>
    <definedName name="YrsToRetire">BufferBaseline!$B$9</definedName>
    <definedName name="YT">BufferBaseline!$C$12</definedName>
  </definedNames>
  <calcPr calcId="144525"/>
</workbook>
</file>

<file path=xl/calcChain.xml><?xml version="1.0" encoding="utf-8"?>
<calcChain xmlns="http://schemas.openxmlformats.org/spreadsheetml/2006/main">
  <c r="G9" i="5" l="1"/>
  <c r="G7" i="3"/>
  <c r="G10" i="3" l="1"/>
  <c r="G9" i="3"/>
  <c r="G8" i="3"/>
  <c r="G10" i="5"/>
  <c r="G8" i="5"/>
  <c r="G7" i="5"/>
  <c r="G9" i="6"/>
  <c r="G10" i="6"/>
  <c r="G8" i="6"/>
  <c r="G7" i="6"/>
  <c r="D7" i="6"/>
  <c r="F19" i="6"/>
  <c r="E19" i="6"/>
  <c r="H19" i="6" s="1"/>
  <c r="E19" i="5"/>
  <c r="D7" i="5"/>
  <c r="H19" i="5"/>
  <c r="G19" i="5"/>
  <c r="F19" i="5"/>
  <c r="D7" i="3"/>
  <c r="F19" i="3"/>
  <c r="E19" i="3"/>
  <c r="H19" i="3" s="1"/>
  <c r="G19" i="6" l="1"/>
  <c r="G19" i="3"/>
  <c r="G8" i="1"/>
  <c r="G7" i="1"/>
  <c r="G6" i="1"/>
  <c r="E44" i="6" l="1"/>
  <c r="H44" i="6" s="1"/>
  <c r="B44" i="6"/>
  <c r="E43" i="6"/>
  <c r="H43" i="6" s="1"/>
  <c r="B43" i="6"/>
  <c r="H42" i="6"/>
  <c r="G42" i="6"/>
  <c r="E42" i="6"/>
  <c r="F42" i="6" s="1"/>
  <c r="B42" i="6"/>
  <c r="E34" i="6"/>
  <c r="H34" i="6" s="1"/>
  <c r="B34" i="6"/>
  <c r="E33" i="6"/>
  <c r="H33" i="6" s="1"/>
  <c r="B33" i="6"/>
  <c r="E57" i="6"/>
  <c r="H57" i="6" s="1"/>
  <c r="B57" i="6"/>
  <c r="E56" i="6"/>
  <c r="H56" i="6" s="1"/>
  <c r="B56" i="6"/>
  <c r="D54" i="6"/>
  <c r="E50" i="6"/>
  <c r="H50" i="6" s="1"/>
  <c r="B50" i="6"/>
  <c r="E49" i="6"/>
  <c r="G49" i="6" s="1"/>
  <c r="B49" i="6"/>
  <c r="D47" i="6"/>
  <c r="E41" i="6"/>
  <c r="F41" i="6" s="1"/>
  <c r="B41" i="6"/>
  <c r="E40" i="6"/>
  <c r="F40" i="6" s="1"/>
  <c r="B40" i="6"/>
  <c r="E39" i="6"/>
  <c r="H39" i="6" s="1"/>
  <c r="B39" i="6"/>
  <c r="D37" i="6"/>
  <c r="E32" i="6"/>
  <c r="H32" i="6" s="1"/>
  <c r="B32" i="6"/>
  <c r="D30" i="6"/>
  <c r="D24" i="6"/>
  <c r="F22" i="6"/>
  <c r="E21" i="6"/>
  <c r="H21" i="6" s="1"/>
  <c r="B21" i="6"/>
  <c r="E20" i="6"/>
  <c r="F20" i="6" s="1"/>
  <c r="C20" i="6"/>
  <c r="B20" i="6"/>
  <c r="D17" i="6"/>
  <c r="D12" i="6"/>
  <c r="D11" i="6"/>
  <c r="D10" i="6"/>
  <c r="D9" i="6"/>
  <c r="D8" i="6"/>
  <c r="E46" i="5"/>
  <c r="H46" i="5" s="1"/>
  <c r="B46" i="5"/>
  <c r="H45" i="5"/>
  <c r="E45" i="5"/>
  <c r="G45" i="5" s="1"/>
  <c r="B45" i="5"/>
  <c r="E53" i="5"/>
  <c r="F53" i="5" s="1"/>
  <c r="B53" i="5"/>
  <c r="H52" i="5"/>
  <c r="G52" i="5"/>
  <c r="F52" i="5"/>
  <c r="E52" i="5"/>
  <c r="B52" i="5"/>
  <c r="E51" i="5"/>
  <c r="H51" i="5" s="1"/>
  <c r="B51" i="5"/>
  <c r="E37" i="5"/>
  <c r="G37" i="5" s="1"/>
  <c r="B37" i="5"/>
  <c r="H30" i="5"/>
  <c r="G30" i="5"/>
  <c r="F30" i="5"/>
  <c r="E30" i="5"/>
  <c r="B30" i="5"/>
  <c r="E29" i="5"/>
  <c r="H29" i="5" s="1"/>
  <c r="B29" i="5"/>
  <c r="E28" i="5"/>
  <c r="F28" i="5" s="1"/>
  <c r="B28" i="5"/>
  <c r="H27" i="5"/>
  <c r="G27" i="5"/>
  <c r="F27" i="5"/>
  <c r="E27" i="5"/>
  <c r="B27" i="5"/>
  <c r="D53" i="3"/>
  <c r="D46" i="3"/>
  <c r="D39" i="3"/>
  <c r="D33" i="3"/>
  <c r="D24" i="3"/>
  <c r="D17" i="3"/>
  <c r="D56" i="5"/>
  <c r="D49" i="5"/>
  <c r="D41" i="5"/>
  <c r="D34" i="5"/>
  <c r="D24" i="5"/>
  <c r="D17" i="5"/>
  <c r="E44" i="5"/>
  <c r="H44" i="5" s="1"/>
  <c r="B44" i="5"/>
  <c r="E43" i="5"/>
  <c r="H43" i="5" s="1"/>
  <c r="B43" i="5"/>
  <c r="E36" i="5"/>
  <c r="H36" i="5" s="1"/>
  <c r="B36" i="5"/>
  <c r="E26" i="5"/>
  <c r="H26" i="5" s="1"/>
  <c r="B26" i="5"/>
  <c r="F22" i="5"/>
  <c r="E21" i="5"/>
  <c r="H21" i="5" s="1"/>
  <c r="B21" i="5"/>
  <c r="E20" i="5"/>
  <c r="H20" i="5" s="1"/>
  <c r="C20" i="5"/>
  <c r="B20" i="5"/>
  <c r="D12" i="5"/>
  <c r="D11" i="5"/>
  <c r="D10" i="5"/>
  <c r="D9" i="5"/>
  <c r="D8" i="5"/>
  <c r="F56" i="6" l="1"/>
  <c r="F43" i="6"/>
  <c r="G43" i="6"/>
  <c r="G33" i="6"/>
  <c r="G56" i="6"/>
  <c r="F34" i="6"/>
  <c r="G34" i="6"/>
  <c r="F57" i="6"/>
  <c r="G57" i="6"/>
  <c r="F44" i="6"/>
  <c r="G44" i="6"/>
  <c r="F33" i="6"/>
  <c r="F46" i="5"/>
  <c r="G46" i="5"/>
  <c r="G28" i="5"/>
  <c r="G53" i="5"/>
  <c r="H28" i="5"/>
  <c r="H9" i="5" s="1"/>
  <c r="F51" i="5"/>
  <c r="H53" i="5"/>
  <c r="G51" i="5"/>
  <c r="F45" i="5"/>
  <c r="F50" i="6"/>
  <c r="G32" i="6"/>
  <c r="F49" i="6"/>
  <c r="G40" i="6"/>
  <c r="H49" i="6"/>
  <c r="H40" i="6"/>
  <c r="G20" i="6"/>
  <c r="H20" i="6"/>
  <c r="G41" i="6"/>
  <c r="G50" i="6"/>
  <c r="H41" i="6"/>
  <c r="H7" i="6"/>
  <c r="F39" i="6"/>
  <c r="F32" i="6"/>
  <c r="G39" i="6"/>
  <c r="G21" i="6"/>
  <c r="F21" i="6"/>
  <c r="F37" i="5"/>
  <c r="H37" i="5"/>
  <c r="G29" i="5"/>
  <c r="F29" i="5"/>
  <c r="H7" i="5"/>
  <c r="G20" i="5"/>
  <c r="F20" i="5"/>
  <c r="F26" i="5"/>
  <c r="G26" i="5"/>
  <c r="G43" i="5"/>
  <c r="F36" i="5"/>
  <c r="G36" i="5"/>
  <c r="F43" i="5"/>
  <c r="F21" i="5"/>
  <c r="G21" i="5"/>
  <c r="F44" i="5"/>
  <c r="G44" i="5"/>
  <c r="D12" i="3"/>
  <c r="D11" i="3"/>
  <c r="D10" i="3"/>
  <c r="D9" i="3"/>
  <c r="D8" i="3"/>
  <c r="H7" i="3"/>
  <c r="F22" i="3"/>
  <c r="E42" i="3"/>
  <c r="F42" i="3" s="1"/>
  <c r="B42" i="3"/>
  <c r="E41" i="3"/>
  <c r="F41" i="3" s="1"/>
  <c r="B41" i="3"/>
  <c r="E35" i="3"/>
  <c r="H35" i="3" s="1"/>
  <c r="B35" i="3"/>
  <c r="E29" i="3"/>
  <c r="H29" i="3" s="1"/>
  <c r="B29" i="3"/>
  <c r="E28" i="3"/>
  <c r="G28" i="3" s="1"/>
  <c r="B28" i="3"/>
  <c r="E27" i="3"/>
  <c r="H27" i="3" s="1"/>
  <c r="B27" i="3"/>
  <c r="E26" i="3"/>
  <c r="H26" i="3" s="1"/>
  <c r="B26" i="3"/>
  <c r="E21" i="3"/>
  <c r="G21" i="3" s="1"/>
  <c r="B21" i="3"/>
  <c r="E20" i="3"/>
  <c r="H20" i="3" s="1"/>
  <c r="B20" i="3"/>
  <c r="H9" i="6" l="1"/>
  <c r="H10" i="6"/>
  <c r="H8" i="6"/>
  <c r="H8" i="5"/>
  <c r="H10" i="5"/>
  <c r="F21" i="3"/>
  <c r="G41" i="3"/>
  <c r="H41" i="3"/>
  <c r="G42" i="3"/>
  <c r="H42" i="3"/>
  <c r="H28" i="3"/>
  <c r="F29" i="3"/>
  <c r="G29" i="3"/>
  <c r="F35" i="3"/>
  <c r="F28" i="3"/>
  <c r="G35" i="3"/>
  <c r="H21" i="3"/>
  <c r="F20" i="3"/>
  <c r="G20" i="3"/>
  <c r="F27" i="3"/>
  <c r="G27" i="3"/>
  <c r="F26" i="3"/>
  <c r="G26" i="3"/>
  <c r="C20" i="3"/>
  <c r="H9" i="3" l="1"/>
  <c r="H8" i="3"/>
  <c r="H10" i="3"/>
  <c r="C11" i="1"/>
  <c r="C12" i="1" l="1"/>
  <c r="C14" i="1"/>
  <c r="C15" i="1"/>
</calcChain>
</file>

<file path=xl/comments1.xml><?xml version="1.0" encoding="utf-8"?>
<comments xmlns="http://schemas.openxmlformats.org/spreadsheetml/2006/main">
  <authors>
    <author>Customer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How long you want to be able to weather a bear market (years)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Amount of pre-tax retirement funds you have avaliable.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Your yearly cost of living expenses.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Any supplemental income you may have (ie Social Security, Pension, etc.).  This is the after tax amount.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Tax bracket you expect to be in based on your cost of living.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 xml:space="preserve">We assuming if you are working during a Bear market, you will not need to withdraw from your retirement funds.
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This is how much you will need to pull from your retirement funds each year.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This is the amount of money you have to pay in taxes for the amount you took out of your retirement funds.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This is the minimal amount of money you need to have in ultra safe investments to weather a bear market.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 xml:space="preserve">The minumal percentage of your retirement funds to have in ultra conservative investments </t>
        </r>
      </text>
    </comment>
  </commentList>
</comments>
</file>

<file path=xl/comments2.xml><?xml version="1.0" encoding="utf-8"?>
<comments xmlns="http://schemas.openxmlformats.org/spreadsheetml/2006/main">
  <authors>
    <author>Customer</author>
  </authors>
  <commentList>
    <comment ref="D61" authorId="0">
      <text>
        <r>
          <rPr>
            <b/>
            <sz val="9"/>
            <color indexed="81"/>
            <rFont val="Tahoma"/>
            <family val="2"/>
          </rPr>
          <t>Repeated in Sector Index Funds list</t>
        </r>
      </text>
    </comment>
  </commentList>
</comments>
</file>

<file path=xl/comments3.xml><?xml version="1.0" encoding="utf-8"?>
<comments xmlns="http://schemas.openxmlformats.org/spreadsheetml/2006/main">
  <authors>
    <author>Customer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</commentList>
</comments>
</file>

<file path=xl/comments4.xml><?xml version="1.0" encoding="utf-8"?>
<comments xmlns="http://schemas.openxmlformats.org/spreadsheetml/2006/main">
  <authors>
    <author>Customer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</commentList>
</comments>
</file>

<file path=xl/comments5.xml><?xml version="1.0" encoding="utf-8"?>
<comments xmlns="http://schemas.openxmlformats.org/spreadsheetml/2006/main">
  <authors>
    <author>Customer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Enter Ticker and Percent.  Active cell is ticker then select: 
[ctrl][shift]A
to execute Macro</t>
        </r>
      </text>
    </comment>
  </commentList>
</comments>
</file>

<file path=xl/sharedStrings.xml><?xml version="1.0" encoding="utf-8"?>
<sst xmlns="http://schemas.openxmlformats.org/spreadsheetml/2006/main" count="483" uniqueCount="199">
  <si>
    <t>Bear Market Length</t>
  </si>
  <si>
    <t>Retirement Funds</t>
  </si>
  <si>
    <t>Cost of Living</t>
  </si>
  <si>
    <t>Supplemental Income</t>
  </si>
  <si>
    <t>Your Tax Bracket</t>
  </si>
  <si>
    <t>Yearly Withdraw</t>
  </si>
  <si>
    <t>Yearly Taxes</t>
  </si>
  <si>
    <t>Buffer Baseline</t>
  </si>
  <si>
    <t>Percent of Retirement Funds</t>
  </si>
  <si>
    <t>Years to Retirement</t>
  </si>
  <si>
    <t>Ticker</t>
  </si>
  <si>
    <t>Name</t>
  </si>
  <si>
    <t>Class</t>
  </si>
  <si>
    <t>Type</t>
  </si>
  <si>
    <t>Stock</t>
  </si>
  <si>
    <t>Bond</t>
  </si>
  <si>
    <t>SPDR DoubleLine Total Return Tactical</t>
  </si>
  <si>
    <t>TOTL</t>
  </si>
  <si>
    <t>XSLV</t>
  </si>
  <si>
    <t>REIT</t>
  </si>
  <si>
    <t>VT</t>
  </si>
  <si>
    <t>Short Term</t>
  </si>
  <si>
    <t>FSHBX</t>
  </si>
  <si>
    <t>Fidelity Short-Term Bond fund</t>
  </si>
  <si>
    <t>PPEFX</t>
  </si>
  <si>
    <t>American Funds Preservation Portfolio Class F-2</t>
  </si>
  <si>
    <t>10yr loss</t>
  </si>
  <si>
    <t>VSCSX</t>
  </si>
  <si>
    <t>Vanguard Short-Term Corporate bond Index Fund Admiral Shares</t>
  </si>
  <si>
    <t>Corporate</t>
  </si>
  <si>
    <t>Flexable</t>
  </si>
  <si>
    <t>VNQ</t>
  </si>
  <si>
    <t>Vanguard REIT Index Fund ETF Shares</t>
  </si>
  <si>
    <t>MORT</t>
  </si>
  <si>
    <t>VanEck Vectors Mortgage REIT Income ETF</t>
  </si>
  <si>
    <t>Index</t>
  </si>
  <si>
    <t>VPU</t>
  </si>
  <si>
    <t>Vanguard Utilities</t>
  </si>
  <si>
    <t>VAW</t>
  </si>
  <si>
    <t>Vanguard Materials Index Fund ETF</t>
  </si>
  <si>
    <t>DEA</t>
  </si>
  <si>
    <t>Easterly Government Properties Inc</t>
  </si>
  <si>
    <t>Vanguard Total World Stock ETF</t>
  </si>
  <si>
    <t>Materials</t>
  </si>
  <si>
    <t>Utilities</t>
  </si>
  <si>
    <t>Income</t>
  </si>
  <si>
    <t>Consumer</t>
  </si>
  <si>
    <t>VDC</t>
  </si>
  <si>
    <t>Vanguard Consumer Stabples Index Fund ETF</t>
  </si>
  <si>
    <t>SDIV</t>
  </si>
  <si>
    <t>Global X SuperDividend</t>
  </si>
  <si>
    <t>Small Stock</t>
  </si>
  <si>
    <t>VTWO</t>
  </si>
  <si>
    <t>Vanguard Russell 2000 Index Fund ETF</t>
  </si>
  <si>
    <t>US Market</t>
  </si>
  <si>
    <t>VTI</t>
  </si>
  <si>
    <t>Vanguard Total Stock Market Index Fund ETF</t>
  </si>
  <si>
    <t>PFFD</t>
  </si>
  <si>
    <t>Global X US Preferred ETF</t>
  </si>
  <si>
    <t>Invesco S&amp;P SmallCap Low Volatility ETF</t>
  </si>
  <si>
    <t>ARKG</t>
  </si>
  <si>
    <t>ARK Genomic Revolution ETF</t>
  </si>
  <si>
    <t>ICLN</t>
  </si>
  <si>
    <t>iShares Global Clean Energy</t>
  </si>
  <si>
    <t>Fixed Income</t>
  </si>
  <si>
    <t>Expense
Ratio</t>
  </si>
  <si>
    <t>Net
Yield</t>
  </si>
  <si>
    <t>Comments</t>
  </si>
  <si>
    <t>Healthcare</t>
  </si>
  <si>
    <t>Financials</t>
  </si>
  <si>
    <t>Real Estate Investment Trusts</t>
  </si>
  <si>
    <t>XLV</t>
  </si>
  <si>
    <t>Health Care Select Sector SPDR Fund</t>
  </si>
  <si>
    <t>Consumer Discretionary</t>
  </si>
  <si>
    <t>VCR</t>
  </si>
  <si>
    <t>Vanguard Consumer Discretionary Index Fund ETF Shares</t>
  </si>
  <si>
    <t>VFH</t>
  </si>
  <si>
    <t>Vanguard Financials Index Fund ETF Shares</t>
  </si>
  <si>
    <t>VGT</t>
  </si>
  <si>
    <t>Vanguard Information Technology Index Fund ETF Shares</t>
  </si>
  <si>
    <t>Information Technology</t>
  </si>
  <si>
    <t>Industrials</t>
  </si>
  <si>
    <t>VIS</t>
  </si>
  <si>
    <t>Vanguard Industrials Index Fund ETF Shares</t>
  </si>
  <si>
    <t>Communications Services</t>
  </si>
  <si>
    <t>XLC</t>
  </si>
  <si>
    <t>Communication Services Select Sector SPDR Fund</t>
  </si>
  <si>
    <t>Energy</t>
  </si>
  <si>
    <t>XLE</t>
  </si>
  <si>
    <t>Energy Select Sector SPDR Fund</t>
  </si>
  <si>
    <t>BNDW</t>
  </si>
  <si>
    <t>Vanguard Total World Bond ETF</t>
  </si>
  <si>
    <t>USHY</t>
  </si>
  <si>
    <t>iShares Broad USD High Yield Corporate Bond ETF</t>
  </si>
  <si>
    <t>SJNK</t>
  </si>
  <si>
    <t>SPDR Bloomberg Barclay Short Term High Yield Bond ETF</t>
  </si>
  <si>
    <t>GHYG</t>
  </si>
  <si>
    <t>iShares US &amp; Intl High Yield Corp Bond ETF</t>
  </si>
  <si>
    <t>AWF</t>
  </si>
  <si>
    <t>AllianceBernstein Global High Incomd Fund Inc.</t>
  </si>
  <si>
    <t>PCN</t>
  </si>
  <si>
    <t>PIMCO Corporate &amp; Income Strategy Fund</t>
  </si>
  <si>
    <t>Government</t>
  </si>
  <si>
    <t>Preferred</t>
  </si>
  <si>
    <t>iShares Preferred and Income Securities ETF</t>
  </si>
  <si>
    <t>IDV</t>
  </si>
  <si>
    <t>iShares Dow Jones International Select Dividend Index</t>
  </si>
  <si>
    <t>Foreign</t>
  </si>
  <si>
    <t>Govement</t>
  </si>
  <si>
    <t>DLR</t>
  </si>
  <si>
    <t>Tech</t>
  </si>
  <si>
    <t>Digital Realty Trust</t>
  </si>
  <si>
    <t>Stock Funds: Ordered by Type</t>
  </si>
  <si>
    <t>Wold</t>
  </si>
  <si>
    <t>Vanguard Total International Stock Index Fund ETF Shares</t>
  </si>
  <si>
    <t>Foreign-Small</t>
  </si>
  <si>
    <t>VSS</t>
  </si>
  <si>
    <t>Vanguard FTSE All-World EX-US Small-Cap Index ETF</t>
  </si>
  <si>
    <t>VFMV</t>
  </si>
  <si>
    <t>Mid Cap</t>
  </si>
  <si>
    <t>Vanguard US Minimum Volatility ETF</t>
  </si>
  <si>
    <t>Distribution Yield: Ordered by Risk</t>
  </si>
  <si>
    <t>Sector Index Funds: Ordered by Ticker</t>
  </si>
  <si>
    <t>Long Shot Funds</t>
  </si>
  <si>
    <t>Individual Stocks</t>
  </si>
  <si>
    <t>BioTech</t>
  </si>
  <si>
    <t>Clean Energy</t>
  </si>
  <si>
    <t>Airlines</t>
  </si>
  <si>
    <t>JETS</t>
  </si>
  <si>
    <t>US Global JETS</t>
  </si>
  <si>
    <t>Telecommunications</t>
  </si>
  <si>
    <t>T</t>
  </si>
  <si>
    <t>AT&amp;T Inc.</t>
  </si>
  <si>
    <t>High Dividen paying stock</t>
  </si>
  <si>
    <t>Technology</t>
  </si>
  <si>
    <t>IBM</t>
  </si>
  <si>
    <t>International Business Machines Corp.</t>
  </si>
  <si>
    <t>2-5 yrs expected before return on this</t>
  </si>
  <si>
    <t>Biotechnology</t>
  </si>
  <si>
    <t>ABBV</t>
  </si>
  <si>
    <t>AbbeVie</t>
  </si>
  <si>
    <t>Norwegian Cruise Line Holding Ltd</t>
  </si>
  <si>
    <t>Leisure</t>
  </si>
  <si>
    <t>Long Shot - Pandemic, 2-5 yrs</t>
  </si>
  <si>
    <t>CCL</t>
  </si>
  <si>
    <t>Carnival Corp</t>
  </si>
  <si>
    <t>RCL</t>
  </si>
  <si>
    <t>Royal Caribbean Cruises Ltd</t>
  </si>
  <si>
    <t>Automotive</t>
  </si>
  <si>
    <t>GM</t>
  </si>
  <si>
    <t>General Motors Co</t>
  </si>
  <si>
    <t>Long Shot - Counter to TSLA</t>
  </si>
  <si>
    <t>Food</t>
  </si>
  <si>
    <t>SYY</t>
  </si>
  <si>
    <t>Sysco Corp</t>
  </si>
  <si>
    <t>Decent Div, posed for comeback from Pandemic (2-5yrs)</t>
  </si>
  <si>
    <t>1 month 
Prior
2020/02/18</t>
  </si>
  <si>
    <t>2008
Crash
2020/03/18</t>
  </si>
  <si>
    <t>2021.01.21</t>
  </si>
  <si>
    <t>PFF</t>
  </si>
  <si>
    <t>VXUS</t>
  </si>
  <si>
    <t>NCLH</t>
  </si>
  <si>
    <t>Buffer Baseline Calculation</t>
  </si>
  <si>
    <t>Cash Investments</t>
  </si>
  <si>
    <t>International Equity</t>
  </si>
  <si>
    <t>Small Cap Equity</t>
  </si>
  <si>
    <t>Large Cap Equity</t>
  </si>
  <si>
    <t>Other</t>
  </si>
  <si>
    <t>Use this to calculate the minimal amount of near cash equivalent income to have in your savings</t>
  </si>
  <si>
    <t>Asset Class</t>
  </si>
  <si>
    <t>Target</t>
  </si>
  <si>
    <t>Actual</t>
  </si>
  <si>
    <t>Total Funds</t>
  </si>
  <si>
    <t>Crash</t>
  </si>
  <si>
    <t>Now</t>
  </si>
  <si>
    <t>Initial</t>
  </si>
  <si>
    <t>Near Cash Equivalent</t>
  </si>
  <si>
    <t>Percent</t>
  </si>
  <si>
    <t>Large Cap</t>
  </si>
  <si>
    <t>Small Cap</t>
  </si>
  <si>
    <t>Metric</t>
  </si>
  <si>
    <t>Amounts</t>
  </si>
  <si>
    <t>Final</t>
  </si>
  <si>
    <t>2020
Crash</t>
  </si>
  <si>
    <t>Identified Funds (2021-01-24)
(with 2020 crash values)</t>
  </si>
  <si>
    <t>Crash Data - How long to recover</t>
  </si>
  <si>
    <t>Recovery
(Years)</t>
  </si>
  <si>
    <t>Start</t>
  </si>
  <si>
    <t>End</t>
  </si>
  <si>
    <t>2020 Pandemic</t>
  </si>
  <si>
    <t>DJIA</t>
  </si>
  <si>
    <t>2008 Financial Crisis</t>
  </si>
  <si>
    <t>2000 Dot-com Bubble</t>
  </si>
  <si>
    <t>NADAQ</t>
  </si>
  <si>
    <t>Conservative Portfolio Calculations
(with 2020 crash values)</t>
  </si>
  <si>
    <t>Moderate Portfolio Calculations
(with 2020 crash values)</t>
  </si>
  <si>
    <t>Aggressive Portfolio Calculations
(with 2020 crash values)</t>
  </si>
  <si>
    <t>Cash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</si>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</sst>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0.0%"/>
    <numFmt numFmtId="166" formatCode="&quot;$&quot;#,##0,&quot;k&quot;"/>
    <numFmt numFmtId="167" formatCode="0.0"/>
  </numFmts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1" fontId="0" fillId="2" borderId="1" xfId="0" applyNumberFormat="1" applyFill="1" applyBorder="1"/>
    <xf numFmtId="3" fontId="0" fillId="2" borderId="1" xfId="0" applyNumberFormat="1" applyFill="1" applyBorder="1"/>
    <xf numFmtId="9" fontId="0" fillId="2" borderId="1" xfId="0" applyNumberFormat="1" applyFill="1" applyBorder="1"/>
    <xf numFmtId="164" fontId="0" fillId="3" borderId="1" xfId="0" applyNumberFormat="1" applyFill="1" applyBorder="1"/>
    <xf numFmtId="9" fontId="0" fillId="3" borderId="1" xfId="0" applyNumberFormat="1" applyFill="1" applyBorder="1"/>
    <xf numFmtId="0" fontId="0" fillId="0" borderId="1" xfId="0" applyFill="1" applyBorder="1"/>
    <xf numFmtId="0" fontId="0" fillId="0" borderId="1" xfId="0" applyFont="1" applyBorder="1"/>
    <xf numFmtId="10" fontId="0" fillId="0" borderId="1" xfId="0" applyNumberFormat="1" applyBorder="1"/>
    <xf numFmtId="165" fontId="0" fillId="0" borderId="1" xfId="0" applyNumberFormat="1" applyBorder="1"/>
    <xf numFmtId="0" fontId="0" fillId="5" borderId="1" xfId="0" applyFont="1" applyFill="1" applyBorder="1"/>
    <xf numFmtId="0" fontId="0" fillId="0" borderId="2" xfId="0" applyFont="1" applyBorder="1"/>
    <xf numFmtId="0" fontId="0" fillId="0" borderId="3" xfId="0" applyFont="1" applyBorder="1"/>
    <xf numFmtId="10" fontId="0" fillId="0" borderId="3" xfId="0" applyNumberForma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8" xfId="0" applyNumberFormat="1" applyBorder="1"/>
    <xf numFmtId="0" fontId="0" fillId="0" borderId="0" xfId="0" applyFont="1"/>
    <xf numFmtId="10" fontId="0" fillId="0" borderId="1" xfId="0" applyNumberFormat="1" applyFont="1" applyBorder="1"/>
    <xf numFmtId="0" fontId="0" fillId="5" borderId="3" xfId="0" applyFont="1" applyFill="1" applyBorder="1"/>
    <xf numFmtId="10" fontId="0" fillId="0" borderId="3" xfId="0" applyNumberFormat="1" applyFont="1" applyBorder="1"/>
    <xf numFmtId="0" fontId="0" fillId="5" borderId="8" xfId="0" applyFont="1" applyFill="1" applyBorder="1"/>
    <xf numFmtId="10" fontId="0" fillId="0" borderId="8" xfId="0" applyNumberFormat="1" applyFont="1" applyBorder="1"/>
    <xf numFmtId="0" fontId="3" fillId="0" borderId="3" xfId="0" applyFont="1" applyFill="1" applyBorder="1"/>
    <xf numFmtId="0" fontId="3" fillId="0" borderId="1" xfId="0" applyFont="1" applyFill="1" applyBorder="1"/>
    <xf numFmtId="0" fontId="3" fillId="0" borderId="8" xfId="0" applyFont="1" applyFill="1" applyBorder="1"/>
    <xf numFmtId="0" fontId="3" fillId="0" borderId="3" xfId="0" applyFont="1" applyBorder="1"/>
    <xf numFmtId="0" fontId="3" fillId="0" borderId="1" xfId="0" applyFont="1" applyBorder="1"/>
    <xf numFmtId="0" fontId="3" fillId="0" borderId="8" xfId="0" applyFont="1" applyBorder="1"/>
    <xf numFmtId="0" fontId="2" fillId="0" borderId="0" xfId="0" applyFont="1" applyFill="1"/>
    <xf numFmtId="0" fontId="2" fillId="4" borderId="10" xfId="0" applyFont="1" applyFill="1" applyBorder="1" applyAlignment="1">
      <alignment vertical="top"/>
    </xf>
    <xf numFmtId="0" fontId="2" fillId="4" borderId="11" xfId="0" applyFont="1" applyFill="1" applyBorder="1" applyAlignment="1">
      <alignment vertical="top"/>
    </xf>
    <xf numFmtId="0" fontId="2" fillId="4" borderId="1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4" borderId="12" xfId="0" applyFont="1" applyFill="1" applyBorder="1" applyAlignment="1">
      <alignment vertical="top"/>
    </xf>
    <xf numFmtId="0" fontId="2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10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0" fontId="3" fillId="0" borderId="0" xfId="0" applyFont="1" applyBorder="1"/>
    <xf numFmtId="165" fontId="0" fillId="0" borderId="0" xfId="0" applyNumberFormat="1" applyFont="1" applyBorder="1"/>
    <xf numFmtId="10" fontId="0" fillId="0" borderId="0" xfId="0" applyNumberFormat="1" applyFont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0" fillId="0" borderId="6" xfId="0" applyBorder="1"/>
    <xf numFmtId="165" fontId="0" fillId="0" borderId="8" xfId="0" applyNumberFormat="1" applyBorder="1"/>
    <xf numFmtId="0" fontId="0" fillId="0" borderId="8" xfId="0" applyBorder="1"/>
    <xf numFmtId="0" fontId="0" fillId="0" borderId="9" xfId="0" applyBorder="1"/>
    <xf numFmtId="165" fontId="0" fillId="0" borderId="3" xfId="0" applyNumberFormat="1" applyFont="1" applyBorder="1"/>
    <xf numFmtId="0" fontId="0" fillId="0" borderId="4" xfId="0" applyFont="1" applyBorder="1"/>
    <xf numFmtId="165" fontId="0" fillId="0" borderId="1" xfId="0" applyNumberFormat="1" applyFont="1" applyBorder="1"/>
    <xf numFmtId="0" fontId="0" fillId="0" borderId="6" xfId="0" applyFont="1" applyBorder="1"/>
    <xf numFmtId="165" fontId="0" fillId="0" borderId="8" xfId="0" applyNumberFormat="1" applyFont="1" applyBorder="1"/>
    <xf numFmtId="0" fontId="0" fillId="0" borderId="9" xfId="0" applyFont="1" applyBorder="1"/>
    <xf numFmtId="0" fontId="4" fillId="0" borderId="0" xfId="0" applyFont="1" applyBorder="1"/>
    <xf numFmtId="0" fontId="4" fillId="0" borderId="0" xfId="0" applyFont="1" applyFill="1" applyBorder="1"/>
    <xf numFmtId="165" fontId="0" fillId="0" borderId="3" xfId="0" applyNumberFormat="1" applyBorder="1"/>
    <xf numFmtId="0" fontId="0" fillId="0" borderId="4" xfId="0" applyBorder="1"/>
    <xf numFmtId="0" fontId="0" fillId="0" borderId="0" xfId="0" applyFont="1" applyFill="1" applyBorder="1"/>
    <xf numFmtId="0" fontId="0" fillId="0" borderId="5" xfId="0" applyBorder="1"/>
    <xf numFmtId="0" fontId="0" fillId="0" borderId="7" xfId="0" applyBorder="1"/>
    <xf numFmtId="0" fontId="0" fillId="5" borderId="1" xfId="0" applyFill="1" applyBorder="1"/>
    <xf numFmtId="0" fontId="0" fillId="5" borderId="8" xfId="0" applyFill="1" applyBorder="1"/>
    <xf numFmtId="0" fontId="0" fillId="0" borderId="13" xfId="0" applyFont="1" applyBorder="1"/>
    <xf numFmtId="0" fontId="0" fillId="0" borderId="14" xfId="0" applyFont="1" applyBorder="1"/>
    <xf numFmtId="0" fontId="0" fillId="5" borderId="14" xfId="0" applyFont="1" applyFill="1" applyBorder="1"/>
    <xf numFmtId="0" fontId="3" fillId="0" borderId="14" xfId="0" applyFont="1" applyBorder="1"/>
    <xf numFmtId="10" fontId="0" fillId="0" borderId="14" xfId="0" applyNumberFormat="1" applyFont="1" applyBorder="1"/>
    <xf numFmtId="165" fontId="0" fillId="0" borderId="14" xfId="0" applyNumberFormat="1" applyFont="1" applyBorder="1"/>
    <xf numFmtId="0" fontId="0" fillId="0" borderId="15" xfId="0" applyFont="1" applyBorder="1"/>
    <xf numFmtId="10" fontId="0" fillId="0" borderId="14" xfId="0" applyNumberFormat="1" applyBorder="1"/>
    <xf numFmtId="165" fontId="0" fillId="0" borderId="14" xfId="0" applyNumberFormat="1" applyBorder="1"/>
    <xf numFmtId="0" fontId="0" fillId="0" borderId="15" xfId="0" applyBorder="1"/>
    <xf numFmtId="0" fontId="0" fillId="6" borderId="1" xfId="0" applyFill="1" applyBorder="1"/>
    <xf numFmtId="0" fontId="2" fillId="6" borderId="3" xfId="0" applyFont="1" applyFill="1" applyBorder="1"/>
    <xf numFmtId="0" fontId="0" fillId="6" borderId="8" xfId="0" applyFill="1" applyBorder="1"/>
    <xf numFmtId="0" fontId="0" fillId="6" borderId="3" xfId="0" applyFont="1" applyFill="1" applyBorder="1"/>
    <xf numFmtId="0" fontId="0" fillId="6" borderId="14" xfId="0" applyFont="1" applyFill="1" applyBorder="1"/>
    <xf numFmtId="0" fontId="0" fillId="6" borderId="1" xfId="0" applyFont="1" applyFill="1" applyBorder="1"/>
    <xf numFmtId="0" fontId="0" fillId="6" borderId="8" xfId="0" applyFont="1" applyFill="1" applyBorder="1"/>
    <xf numFmtId="0" fontId="0" fillId="6" borderId="3" xfId="0" applyFill="1" applyBorder="1"/>
    <xf numFmtId="0" fontId="0" fillId="6" borderId="14" xfId="0" applyFill="1" applyBorder="1"/>
    <xf numFmtId="0" fontId="6" fillId="0" borderId="0" xfId="0" applyFont="1"/>
    <xf numFmtId="0" fontId="6" fillId="7" borderId="16" xfId="0" applyFont="1" applyFill="1" applyBorder="1"/>
    <xf numFmtId="0" fontId="0" fillId="0" borderId="18" xfId="0" applyBorder="1"/>
    <xf numFmtId="9" fontId="0" fillId="0" borderId="19" xfId="0" applyNumberFormat="1" applyBorder="1"/>
    <xf numFmtId="0" fontId="0" fillId="0" borderId="20" xfId="0" applyBorder="1"/>
    <xf numFmtId="9" fontId="0" fillId="0" borderId="21" xfId="0" applyNumberFormat="1" applyBorder="1"/>
    <xf numFmtId="0" fontId="6" fillId="7" borderId="22" xfId="0" applyFont="1" applyFill="1" applyBorder="1"/>
    <xf numFmtId="0" fontId="2" fillId="0" borderId="24" xfId="0" applyFont="1" applyBorder="1"/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0" xfId="0" applyFont="1"/>
    <xf numFmtId="0" fontId="2" fillId="8" borderId="1" xfId="0" applyFont="1" applyFill="1" applyBorder="1"/>
    <xf numFmtId="164" fontId="2" fillId="8" borderId="1" xfId="0" applyNumberFormat="1" applyFont="1" applyFill="1" applyBorder="1"/>
    <xf numFmtId="9" fontId="2" fillId="8" borderId="1" xfId="0" applyNumberFormat="1" applyFont="1" applyFill="1" applyBorder="1"/>
    <xf numFmtId="9" fontId="6" fillId="0" borderId="0" xfId="0" applyNumberFormat="1" applyFont="1"/>
    <xf numFmtId="0" fontId="4" fillId="0" borderId="0" xfId="0" applyFont="1"/>
    <xf numFmtId="165" fontId="0" fillId="0" borderId="0" xfId="0" applyNumberFormat="1"/>
    <xf numFmtId="164" fontId="6" fillId="0" borderId="0" xfId="0" applyNumberFormat="1" applyFont="1"/>
    <xf numFmtId="0" fontId="2" fillId="5" borderId="1" xfId="0" applyFont="1" applyFill="1" applyBorder="1"/>
    <xf numFmtId="9" fontId="9" fillId="0" borderId="0" xfId="0" applyNumberFormat="1" applyFont="1"/>
    <xf numFmtId="166" fontId="2" fillId="2" borderId="25" xfId="0" applyNumberFormat="1" applyFont="1" applyFill="1" applyBorder="1"/>
    <xf numFmtId="166" fontId="0" fillId="0" borderId="1" xfId="0" applyNumberFormat="1" applyBorder="1"/>
    <xf numFmtId="164" fontId="0" fillId="9" borderId="1" xfId="0" applyNumberFormat="1" applyFill="1" applyBorder="1"/>
    <xf numFmtId="164" fontId="0" fillId="0" borderId="0" xfId="0" applyNumberFormat="1" applyBorder="1"/>
    <xf numFmtId="166" fontId="0" fillId="0" borderId="23" xfId="0" applyNumberFormat="1" applyBorder="1"/>
    <xf numFmtId="0" fontId="6" fillId="7" borderId="17" xfId="0" applyFont="1" applyFill="1" applyBorder="1"/>
    <xf numFmtId="0" fontId="2" fillId="0" borderId="18" xfId="0" applyFont="1" applyBorder="1"/>
    <xf numFmtId="0" fontId="2" fillId="0" borderId="20" xfId="0" applyFont="1" applyBorder="1"/>
    <xf numFmtId="10" fontId="2" fillId="0" borderId="21" xfId="0" applyNumberFormat="1" applyFont="1" applyBorder="1"/>
    <xf numFmtId="9" fontId="2" fillId="0" borderId="19" xfId="0" applyNumberFormat="1" applyFont="1" applyBorder="1"/>
    <xf numFmtId="0" fontId="7" fillId="0" borderId="0" xfId="0" applyFont="1"/>
    <xf numFmtId="9" fontId="2" fillId="0" borderId="1" xfId="0" applyNumberFormat="1" applyFont="1" applyBorder="1"/>
    <xf numFmtId="9" fontId="2" fillId="0" borderId="23" xfId="0" applyNumberFormat="1" applyFont="1" applyBorder="1"/>
    <xf numFmtId="0" fontId="2" fillId="5" borderId="0" xfId="0" applyFont="1" applyFill="1"/>
    <xf numFmtId="0" fontId="2" fillId="0" borderId="18" xfId="0" applyFont="1" applyBorder="1" applyAlignment="1">
      <alignment wrapText="1"/>
    </xf>
    <xf numFmtId="167" fontId="0" fillId="3" borderId="1" xfId="0" applyNumberFormat="1" applyFill="1" applyBorder="1"/>
    <xf numFmtId="14" fontId="0" fillId="0" borderId="1" xfId="0" applyNumberFormat="1" applyBorder="1"/>
    <xf numFmtId="0" fontId="0" fillId="0" borderId="19" xfId="0" applyBorder="1"/>
    <xf numFmtId="167" fontId="0" fillId="3" borderId="23" xfId="0" applyNumberFormat="1" applyFill="1" applyBorder="1"/>
    <xf numFmtId="0" fontId="0" fillId="0" borderId="21" xfId="0" applyBorder="1"/>
    <xf numFmtId="0" fontId="0" fillId="0" borderId="0" xfId="0" applyFill="1" applyBorder="1"/>
    <xf numFmtId="167" fontId="0" fillId="0" borderId="0" xfId="0" applyNumberFormat="1" applyFill="1" applyBorder="1"/>
    <xf numFmtId="0" fontId="0" fillId="5" borderId="18" xfId="0" applyFill="1" applyBorder="1"/>
    <xf numFmtId="0" fontId="0" fillId="5" borderId="1" xfId="0" applyFill="1" applyBorder="1" applyAlignment="1">
      <alignment wrapText="1"/>
    </xf>
    <xf numFmtId="0" fontId="0" fillId="5" borderId="19" xfId="0" applyFill="1" applyBorder="1"/>
    <xf numFmtId="14" fontId="0" fillId="0" borderId="23" xfId="0" applyNumberFormat="1" applyBorder="1"/>
    <xf numFmtId="0" fontId="0" fillId="11" borderId="1" xfId="0" applyFill="1" applyBorder="1"/>
    <xf numFmtId="0" fontId="2" fillId="11" borderId="1" xfId="0" applyFont="1" applyFill="1" applyBorder="1"/>
    <xf numFmtId="164" fontId="0" fillId="11" borderId="1" xfId="0" applyNumberFormat="1" applyFill="1" applyBorder="1"/>
    <xf numFmtId="164" fontId="0" fillId="0" borderId="1" xfId="0" applyNumberFormat="1" applyBorder="1"/>
    <xf numFmtId="0" fontId="7" fillId="4" borderId="0" xfId="0" applyFont="1" applyFill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Conservative Portfolio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4"/>
          <c:dLbls>
            <c:spPr>
              <a:effectLst>
                <a:outerShdw blurRad="50800" dist="50800" dir="5700000" algn="ctr" rotWithShape="0">
                  <a:srgbClr val="000000">
                    <a:alpha val="43137"/>
                  </a:srgbClr>
                </a:outerShdw>
                <a:softEdge rad="0"/>
              </a:effectLst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Conservative!$B$7:$B$12</c:f>
              <c:strCache>
                <c:ptCount val="6"/>
                <c:pt idx="0">
                  <c:v>Cash Investments</c:v>
                </c:pt>
                <c:pt idx="1">
                  <c:v>Fixed Income</c:v>
                </c:pt>
                <c:pt idx="2">
                  <c:v>International Equity</c:v>
                </c:pt>
                <c:pt idx="3">
                  <c:v>Small Cap Equity</c:v>
                </c:pt>
                <c:pt idx="4">
                  <c:v>Large Cap Equity</c:v>
                </c:pt>
                <c:pt idx="5">
                  <c:v>Other</c:v>
                </c:pt>
              </c:strCache>
            </c:strRef>
          </c:cat>
          <c:val>
            <c:numRef>
              <c:f>Conservative!$D$7:$D$12</c:f>
              <c:numCache>
                <c:formatCode>0%</c:formatCode>
                <c:ptCount val="6"/>
                <c:pt idx="0">
                  <c:v>0.30000000000000004</c:v>
                </c:pt>
                <c:pt idx="1">
                  <c:v>0.5</c:v>
                </c:pt>
                <c:pt idx="2">
                  <c:v>0.05</c:v>
                </c:pt>
                <c:pt idx="3">
                  <c:v>0</c:v>
                </c:pt>
                <c:pt idx="4">
                  <c:v>0.15000000000000002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accent1">
          <a:alpha val="97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Moderate Portfolio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Moderate!$B$7:$B$12</c:f>
              <c:strCache>
                <c:ptCount val="1"/>
                <c:pt idx="0">
                  <c:v>Cash Investments Fixed Income International Equity Small Cap Equity Large Cap Equity Other</c:v>
                </c:pt>
              </c:strCache>
            </c:strRef>
          </c:tx>
          <c:explosion val="4"/>
          <c:dLbls>
            <c:spPr>
              <a:effectLst>
                <a:outerShdw blurRad="50800" dist="50800" dir="5700000" algn="ctr" rotWithShape="0">
                  <a:srgbClr val="000000">
                    <a:alpha val="43137"/>
                  </a:srgbClr>
                </a:outerShdw>
                <a:softEdge rad="0"/>
              </a:effectLst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Conservative!$B$7:$B$12</c:f>
              <c:strCache>
                <c:ptCount val="6"/>
                <c:pt idx="0">
                  <c:v>Cash Investments</c:v>
                </c:pt>
                <c:pt idx="1">
                  <c:v>Fixed Income</c:v>
                </c:pt>
                <c:pt idx="2">
                  <c:v>International Equity</c:v>
                </c:pt>
                <c:pt idx="3">
                  <c:v>Small Cap Equity</c:v>
                </c:pt>
                <c:pt idx="4">
                  <c:v>Large Cap Equity</c:v>
                </c:pt>
                <c:pt idx="5">
                  <c:v>Other</c:v>
                </c:pt>
              </c:strCache>
            </c:strRef>
          </c:cat>
          <c:val>
            <c:numRef>
              <c:f>Moderate!$D$7:$D$12</c:f>
              <c:numCache>
                <c:formatCode>0%</c:formatCode>
                <c:ptCount val="6"/>
                <c:pt idx="0">
                  <c:v>0.05</c:v>
                </c:pt>
                <c:pt idx="1">
                  <c:v>0.35000000000000009</c:v>
                </c:pt>
                <c:pt idx="2">
                  <c:v>0.15000000000000002</c:v>
                </c:pt>
                <c:pt idx="3">
                  <c:v>0.1</c:v>
                </c:pt>
                <c:pt idx="4">
                  <c:v>0.35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accent1">
          <a:alpha val="97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Aggressive Portfolio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4"/>
          <c:dLbls>
            <c:spPr>
              <a:effectLst>
                <a:outerShdw blurRad="50800" dist="50800" dir="5700000" algn="ctr" rotWithShape="0">
                  <a:srgbClr val="000000">
                    <a:alpha val="43137"/>
                  </a:srgbClr>
                </a:outerShdw>
                <a:softEdge rad="0"/>
              </a:effectLst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Conservative!$B$7:$B$12</c:f>
              <c:strCache>
                <c:ptCount val="6"/>
                <c:pt idx="0">
                  <c:v>Cash Investments</c:v>
                </c:pt>
                <c:pt idx="1">
                  <c:v>Fixed Income</c:v>
                </c:pt>
                <c:pt idx="2">
                  <c:v>International Equity</c:v>
                </c:pt>
                <c:pt idx="3">
                  <c:v>Small Cap Equity</c:v>
                </c:pt>
                <c:pt idx="4">
                  <c:v>Large Cap Equity</c:v>
                </c:pt>
                <c:pt idx="5">
                  <c:v>Other</c:v>
                </c:pt>
              </c:strCache>
            </c:strRef>
          </c:cat>
          <c:val>
            <c:numRef>
              <c:f>Aggressive!$D$7:$D$12</c:f>
              <c:numCache>
                <c:formatCode>0%</c:formatCode>
                <c:ptCount val="6"/>
                <c:pt idx="0">
                  <c:v>0.05</c:v>
                </c:pt>
                <c:pt idx="1">
                  <c:v>0</c:v>
                </c:pt>
                <c:pt idx="2">
                  <c:v>0.25</c:v>
                </c:pt>
                <c:pt idx="3">
                  <c:v>0.15000000000000002</c:v>
                </c:pt>
                <c:pt idx="4">
                  <c:v>0.49999999999999994</c:v>
                </c:pt>
                <c:pt idx="5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accent1">
          <a:alpha val="97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591671</xdr:colOff>
      <xdr:row>16</xdr:row>
      <xdr:rowOff>8965</xdr:rowOff>
    </xdr:from>
    <xdr:to>
      <xdr:col>12</xdr:col>
      <xdr:colOff>548554</xdr:colOff>
      <xdr:row>55</xdr:row>
      <xdr:rowOff>141811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671" y="3030071"/>
          <a:ext cx="9342930" cy="7125317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301983</xdr:colOff>
      <xdr:row>2</xdr:row>
      <xdr:rowOff>66261</xdr:rowOff>
    </xdr:from>
    <xdr:to>
      <xdr:col>14</xdr:col>
      <xdr:colOff>563218</xdr:colOff>
      <xdr:row>15</xdr:row>
      <xdr:rowOff>78519</xdr:rowOff>
    </xdr:to>
    <xdr:graphicFrame macro="">
      <xdr:nvGraphicFramePr>
        <xdr:cNvPr id="3" name="Chart 2" title="Portfolio Assetmen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315236</xdr:colOff>
      <xdr:row>2</xdr:row>
      <xdr:rowOff>75869</xdr:rowOff>
    </xdr:from>
    <xdr:to>
      <xdr:col>14</xdr:col>
      <xdr:colOff>600986</xdr:colOff>
      <xdr:row>16</xdr:row>
      <xdr:rowOff>12259</xdr:rowOff>
    </xdr:to>
    <xdr:graphicFrame macro="">
      <xdr:nvGraphicFramePr>
        <xdr:cNvPr id="2" name="Chart 1" title="Portfolio Assetmen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335114</xdr:colOff>
      <xdr:row>2</xdr:row>
      <xdr:rowOff>95747</xdr:rowOff>
    </xdr:from>
    <xdr:to>
      <xdr:col>14</xdr:col>
      <xdr:colOff>490330</xdr:colOff>
      <xdr:row>15</xdr:row>
      <xdr:rowOff>33131</xdr:rowOff>
    </xdr:to>
    <xdr:graphicFrame macro="">
      <xdr:nvGraphicFramePr>
        <xdr:cNvPr id="2" name="Chart 1" title="Portfolio Assetmen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N15"/>
  <sheetViews>
    <sheetView zoomScale="115" zoomScaleNormal="115" workbookViewId="0">
      <selection activeCell="L15" sqref="L15"/>
    </sheetView>
  </sheetViews>
  <sheetFormatPr defaultRowHeight="14.4" x14ac:dyDescent="0.3"/>
  <cols>
    <col min="2" max="2" width="18.6640625" customWidth="1"/>
    <col min="3" max="3" width="10.88671875" bestFit="1" customWidth="1"/>
    <col min="4" max="4" width="14" customWidth="1"/>
    <col min="6" max="6" width="19.44140625" bestFit="1" customWidth="1"/>
    <col min="8" max="8" width="9.77734375" bestFit="1" customWidth="1"/>
    <col min="9" max="9" width="10.77734375" bestFit="1" customWidth="1"/>
  </cols>
  <sheetData>
    <row r="1" spans="2:14" ht="25.8" x14ac:dyDescent="0.5">
      <c r="B1" s="137" t="s">
        <v>162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2:14" x14ac:dyDescent="0.3">
      <c r="B2" t="s">
        <v>168</v>
      </c>
    </row>
    <row r="3" spans="2:14" ht="15" thickBot="1" x14ac:dyDescent="0.35"/>
    <row r="4" spans="2:14" x14ac:dyDescent="0.3">
      <c r="B4" s="1" t="s">
        <v>0</v>
      </c>
      <c r="C4" s="2">
        <v>10</v>
      </c>
      <c r="F4" s="138" t="s">
        <v>185</v>
      </c>
      <c r="G4" s="139"/>
      <c r="H4" s="139"/>
      <c r="I4" s="139"/>
      <c r="J4" s="140"/>
    </row>
    <row r="5" spans="2:14" ht="28.8" x14ac:dyDescent="0.3">
      <c r="B5" s="1" t="s">
        <v>1</v>
      </c>
      <c r="C5" s="3">
        <v>1000000</v>
      </c>
      <c r="F5" s="129" t="s">
        <v>173</v>
      </c>
      <c r="G5" s="130" t="s">
        <v>186</v>
      </c>
      <c r="H5" s="66" t="s">
        <v>187</v>
      </c>
      <c r="I5" s="66" t="s">
        <v>188</v>
      </c>
      <c r="J5" s="131" t="s">
        <v>35</v>
      </c>
    </row>
    <row r="6" spans="2:14" x14ac:dyDescent="0.3">
      <c r="B6" s="1" t="s">
        <v>2</v>
      </c>
      <c r="C6" s="3">
        <v>60000</v>
      </c>
      <c r="F6" s="89" t="s">
        <v>189</v>
      </c>
      <c r="G6" s="122">
        <f>(I6-H6)/365</f>
        <v>0.76164383561643834</v>
      </c>
      <c r="H6" s="123">
        <v>43873</v>
      </c>
      <c r="I6" s="123">
        <v>44151</v>
      </c>
      <c r="J6" s="124" t="s">
        <v>190</v>
      </c>
    </row>
    <row r="7" spans="2:14" x14ac:dyDescent="0.3">
      <c r="B7" s="1" t="s">
        <v>3</v>
      </c>
      <c r="C7" s="3">
        <v>35000</v>
      </c>
      <c r="F7" s="89" t="s">
        <v>191</v>
      </c>
      <c r="G7" s="122">
        <f>(I7-H7)/365</f>
        <v>5.3890410958904109</v>
      </c>
      <c r="H7" s="123">
        <v>39363</v>
      </c>
      <c r="I7" s="123">
        <v>41330</v>
      </c>
      <c r="J7" s="124" t="s">
        <v>190</v>
      </c>
    </row>
    <row r="8" spans="2:14" ht="15" thickBot="1" x14ac:dyDescent="0.35">
      <c r="B8" s="1" t="s">
        <v>4</v>
      </c>
      <c r="C8" s="4">
        <v>0.12</v>
      </c>
      <c r="F8" s="91" t="s">
        <v>192</v>
      </c>
      <c r="G8" s="125">
        <f>(I8-H8)/365</f>
        <v>13.265753424657534</v>
      </c>
      <c r="H8" s="132">
        <v>37321</v>
      </c>
      <c r="I8" s="132">
        <v>42163</v>
      </c>
      <c r="J8" s="126" t="s">
        <v>193</v>
      </c>
    </row>
    <row r="9" spans="2:14" x14ac:dyDescent="0.3">
      <c r="B9" s="7" t="s">
        <v>9</v>
      </c>
      <c r="C9" s="2">
        <v>2</v>
      </c>
      <c r="F9" s="127"/>
      <c r="G9" s="128"/>
      <c r="H9" s="127"/>
      <c r="I9" s="127"/>
      <c r="J9" s="127"/>
    </row>
    <row r="10" spans="2:14" x14ac:dyDescent="0.3">
      <c r="F10" s="127"/>
      <c r="G10" s="128"/>
      <c r="H10" s="127"/>
      <c r="I10" s="127"/>
      <c r="J10" s="127"/>
    </row>
    <row r="11" spans="2:14" x14ac:dyDescent="0.3">
      <c r="B11" s="1" t="s">
        <v>5</v>
      </c>
      <c r="C11" s="5">
        <f>(CL-SI)/(1-TB)</f>
        <v>28409.090909090908</v>
      </c>
      <c r="F11" s="42"/>
      <c r="G11" s="42"/>
      <c r="H11" s="42"/>
      <c r="I11" s="42"/>
      <c r="J11" s="42"/>
    </row>
    <row r="12" spans="2:14" x14ac:dyDescent="0.3">
      <c r="B12" s="1" t="s">
        <v>6</v>
      </c>
      <c r="C12" s="5">
        <f>RW-(CL-SI)</f>
        <v>3409.0909090909081</v>
      </c>
    </row>
    <row r="14" spans="2:14" x14ac:dyDescent="0.3">
      <c r="B14" s="1" t="s">
        <v>7</v>
      </c>
      <c r="C14" s="5">
        <f>(BL-C9)*RW</f>
        <v>227272.72727272726</v>
      </c>
    </row>
    <row r="15" spans="2:14" x14ac:dyDescent="0.3">
      <c r="B15" s="1" t="s">
        <v>8</v>
      </c>
      <c r="C15" s="6">
        <f>C14/RF</f>
        <v>0.22727272727272727</v>
      </c>
    </row>
  </sheetData>
  <mergeCells count="2">
    <mergeCell ref="B1:N1"/>
    <mergeCell ref="F4:J4"/>
  </mergeCells>
  <pageMargins left="0.25" right="0.25" top="0.75" bottom="0.75" header="0.3" footer="0.3"/>
  <pageSetup scale="6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L89"/>
  <sheetViews>
    <sheetView tabSelected="1" zoomScale="85" zoomScaleNormal="85" workbookViewId="0">
      <pane ySplit="4" topLeftCell="A5" activePane="bottomLeft" state="frozenSplit"/>
      <selection pane="bottomLeft" activeCell="C4" sqref="C4"/>
    </sheetView>
  </sheetViews>
  <sheetFormatPr defaultRowHeight="14.4" x14ac:dyDescent="0.3"/>
  <cols>
    <col min="2" max="2" width="11.6640625" bestFit="1" customWidth="1"/>
    <col min="3" max="3" width="10.109375" bestFit="1" customWidth="1"/>
    <col min="5" max="5" width="38.6640625" customWidth="1"/>
    <col min="7" max="7" width="12.44140625" bestFit="1" customWidth="1"/>
    <col min="9" max="9" width="11" customWidth="1"/>
    <col min="10" max="10" width="12.109375" customWidth="1"/>
    <col min="11" max="11" width="10.5546875" bestFit="1" customWidth="1"/>
    <col min="12" max="12" width="40.6640625" customWidth="1"/>
  </cols>
  <sheetData>
    <row r="2" spans="1:12" ht="47.4" customHeight="1" x14ac:dyDescent="0.5">
      <c r="B2" s="141" t="s">
        <v>184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5" thickBot="1" x14ac:dyDescent="0.35"/>
    <row r="4" spans="1:12" s="35" customFormat="1" ht="44.4" thickTop="1" thickBot="1" x14ac:dyDescent="0.35">
      <c r="B4" s="32" t="s">
        <v>12</v>
      </c>
      <c r="C4" s="33" t="s">
        <v>13</v>
      </c>
      <c r="D4" s="33" t="s">
        <v>10</v>
      </c>
      <c r="E4" s="33" t="s">
        <v>11</v>
      </c>
      <c r="F4" s="34" t="s">
        <v>66</v>
      </c>
      <c r="G4" s="34" t="s">
        <v>65</v>
      </c>
      <c r="H4" s="33" t="s">
        <v>26</v>
      </c>
      <c r="I4" s="34" t="s">
        <v>156</v>
      </c>
      <c r="J4" s="34" t="s">
        <v>157</v>
      </c>
      <c r="K4" s="33" t="s">
        <v>158</v>
      </c>
      <c r="L4" s="36" t="s">
        <v>67</v>
      </c>
    </row>
    <row r="5" spans="1:12" ht="15" thickTop="1" x14ac:dyDescent="0.3">
      <c r="A5" s="42"/>
      <c r="B5" s="38"/>
      <c r="C5" s="38"/>
      <c r="D5" s="63"/>
      <c r="E5" s="39"/>
      <c r="F5" s="40"/>
      <c r="G5" s="40"/>
      <c r="H5" s="41"/>
      <c r="I5" s="42"/>
      <c r="J5" s="42"/>
      <c r="K5" s="42"/>
    </row>
    <row r="6" spans="1:12" s="31" customFormat="1" ht="18.600000000000001" thickBot="1" x14ac:dyDescent="0.4">
      <c r="A6" s="37"/>
      <c r="B6" s="60" t="s">
        <v>64</v>
      </c>
      <c r="C6" s="37"/>
      <c r="D6" s="37"/>
      <c r="E6" s="37"/>
      <c r="F6" s="37"/>
      <c r="G6" s="37"/>
      <c r="H6" s="37"/>
      <c r="I6" s="37"/>
      <c r="J6" s="37"/>
      <c r="K6" s="37"/>
    </row>
    <row r="7" spans="1:12" s="31" customFormat="1" ht="15" thickTop="1" x14ac:dyDescent="0.3">
      <c r="A7" s="37"/>
      <c r="B7" s="46"/>
      <c r="C7" s="47"/>
      <c r="D7" s="47"/>
      <c r="E7" s="47"/>
      <c r="F7" s="47"/>
      <c r="G7" s="47"/>
      <c r="H7" s="47"/>
      <c r="I7" s="79"/>
      <c r="J7" s="79"/>
      <c r="K7" s="79"/>
      <c r="L7" s="48"/>
    </row>
    <row r="8" spans="1:12" x14ac:dyDescent="0.3">
      <c r="A8" s="42"/>
      <c r="B8" s="15" t="s">
        <v>15</v>
      </c>
      <c r="C8" s="8" t="s">
        <v>21</v>
      </c>
      <c r="D8" s="11" t="s">
        <v>22</v>
      </c>
      <c r="E8" s="26" t="s">
        <v>23</v>
      </c>
      <c r="F8" s="9">
        <v>1.6E-2</v>
      </c>
      <c r="G8" s="9">
        <v>4.4999999999999997E-3</v>
      </c>
      <c r="H8" s="10">
        <v>3.6999999999999998E-2</v>
      </c>
      <c r="I8" s="78">
        <v>8.73</v>
      </c>
      <c r="J8" s="78">
        <v>8.6</v>
      </c>
      <c r="K8" s="78">
        <v>8.7799999999999994</v>
      </c>
      <c r="L8" s="49" t="s">
        <v>176</v>
      </c>
    </row>
    <row r="9" spans="1:12" x14ac:dyDescent="0.3">
      <c r="A9" s="42"/>
      <c r="B9" s="15" t="s">
        <v>15</v>
      </c>
      <c r="C9" s="8" t="s">
        <v>21</v>
      </c>
      <c r="D9" s="11" t="s">
        <v>24</v>
      </c>
      <c r="E9" s="26" t="s">
        <v>25</v>
      </c>
      <c r="F9" s="9">
        <v>2.1299999999999999E-2</v>
      </c>
      <c r="G9" s="9">
        <v>3.8999999999999998E-3</v>
      </c>
      <c r="H9" s="10">
        <v>4.2000000000000003E-2</v>
      </c>
      <c r="I9" s="78">
        <v>10.029999999999999</v>
      </c>
      <c r="J9" s="78">
        <v>10.050000000000001</v>
      </c>
      <c r="K9" s="78">
        <v>10.3</v>
      </c>
      <c r="L9" s="95" t="s">
        <v>176</v>
      </c>
    </row>
    <row r="10" spans="1:12" x14ac:dyDescent="0.3">
      <c r="A10" s="42"/>
      <c r="B10" s="15" t="s">
        <v>15</v>
      </c>
      <c r="C10" s="8" t="s">
        <v>30</v>
      </c>
      <c r="D10" s="11" t="s">
        <v>17</v>
      </c>
      <c r="E10" s="26" t="s">
        <v>16</v>
      </c>
      <c r="F10" s="9">
        <v>2.3599999999999999E-2</v>
      </c>
      <c r="G10" s="9">
        <v>5.4999999999999997E-3</v>
      </c>
      <c r="H10" s="10">
        <v>6.4000000000000001E-2</v>
      </c>
      <c r="I10" s="78">
        <v>49.49</v>
      </c>
      <c r="J10" s="78">
        <v>46.68</v>
      </c>
      <c r="K10" s="78">
        <v>49.28</v>
      </c>
      <c r="L10" s="49"/>
    </row>
    <row r="11" spans="1:12" x14ac:dyDescent="0.3">
      <c r="A11" s="42"/>
      <c r="B11" s="15" t="s">
        <v>15</v>
      </c>
      <c r="C11" s="8" t="s">
        <v>29</v>
      </c>
      <c r="D11" s="11" t="s">
        <v>27</v>
      </c>
      <c r="E11" s="26" t="s">
        <v>28</v>
      </c>
      <c r="F11" s="9">
        <v>2.18E-2</v>
      </c>
      <c r="G11" s="9">
        <v>6.9999999999999999E-4</v>
      </c>
      <c r="H11" s="10">
        <v>7.9000000000000001E-2</v>
      </c>
      <c r="I11" s="78">
        <v>22.2</v>
      </c>
      <c r="J11" s="78">
        <v>21.24</v>
      </c>
      <c r="K11" s="78">
        <v>22.62</v>
      </c>
      <c r="L11" s="49"/>
    </row>
    <row r="12" spans="1:12" x14ac:dyDescent="0.3">
      <c r="A12" s="42"/>
      <c r="B12" s="15" t="s">
        <v>15</v>
      </c>
      <c r="C12" s="8" t="s">
        <v>29</v>
      </c>
      <c r="D12" s="11" t="s">
        <v>90</v>
      </c>
      <c r="E12" s="26" t="s">
        <v>91</v>
      </c>
      <c r="F12" s="9">
        <v>2.7300000000000001E-2</v>
      </c>
      <c r="G12" s="9">
        <v>5.9999999999999995E-4</v>
      </c>
      <c r="H12" s="10">
        <v>0.104</v>
      </c>
      <c r="I12" s="78">
        <v>80.09</v>
      </c>
      <c r="J12" s="78">
        <v>76.209999999999994</v>
      </c>
      <c r="K12" s="78">
        <v>81.73</v>
      </c>
      <c r="L12" s="49"/>
    </row>
    <row r="13" spans="1:12" x14ac:dyDescent="0.3">
      <c r="A13" s="42"/>
      <c r="B13" s="15" t="s">
        <v>15</v>
      </c>
      <c r="C13" s="8" t="s">
        <v>29</v>
      </c>
      <c r="D13" s="11" t="s">
        <v>92</v>
      </c>
      <c r="E13" s="26" t="s">
        <v>93</v>
      </c>
      <c r="F13" s="9">
        <v>5.1799999999999999E-2</v>
      </c>
      <c r="G13" s="9">
        <v>1.5E-3</v>
      </c>
      <c r="H13" s="10">
        <v>0.23</v>
      </c>
      <c r="I13" s="78">
        <v>41.34</v>
      </c>
      <c r="J13" s="78">
        <v>34.1</v>
      </c>
      <c r="K13" s="78">
        <v>41.3</v>
      </c>
      <c r="L13" s="49"/>
    </row>
    <row r="14" spans="1:12" x14ac:dyDescent="0.3">
      <c r="A14" s="42"/>
      <c r="B14" s="15" t="s">
        <v>15</v>
      </c>
      <c r="C14" s="8" t="s">
        <v>29</v>
      </c>
      <c r="D14" s="11" t="s">
        <v>94</v>
      </c>
      <c r="E14" s="26" t="s">
        <v>95</v>
      </c>
      <c r="F14" s="9">
        <v>4.9599999999999998E-2</v>
      </c>
      <c r="G14" s="9">
        <v>4.0000000000000001E-3</v>
      </c>
      <c r="H14" s="10">
        <v>0.29399999999999998</v>
      </c>
      <c r="I14" s="78">
        <v>27.07</v>
      </c>
      <c r="J14" s="78">
        <v>22.89</v>
      </c>
      <c r="K14" s="78">
        <v>27.09</v>
      </c>
      <c r="L14" s="49"/>
    </row>
    <row r="15" spans="1:12" x14ac:dyDescent="0.3">
      <c r="A15" s="42"/>
      <c r="B15" s="15" t="s">
        <v>15</v>
      </c>
      <c r="C15" s="8" t="s">
        <v>29</v>
      </c>
      <c r="D15" s="11" t="s">
        <v>96</v>
      </c>
      <c r="E15" s="26" t="s">
        <v>97</v>
      </c>
      <c r="F15" s="9">
        <v>3.9800000000000002E-2</v>
      </c>
      <c r="G15" s="9">
        <v>4.0000000000000001E-3</v>
      </c>
      <c r="H15" s="10">
        <v>0.34399999999999997</v>
      </c>
      <c r="I15" s="78">
        <v>49.69</v>
      </c>
      <c r="J15" s="78">
        <v>38.299999999999997</v>
      </c>
      <c r="K15" s="78">
        <v>50.87</v>
      </c>
      <c r="L15" s="49"/>
    </row>
    <row r="16" spans="1:12" x14ac:dyDescent="0.3">
      <c r="A16" s="42"/>
      <c r="B16" s="15" t="s">
        <v>15</v>
      </c>
      <c r="C16" s="8" t="s">
        <v>102</v>
      </c>
      <c r="D16" s="11" t="s">
        <v>98</v>
      </c>
      <c r="E16" s="26" t="s">
        <v>99</v>
      </c>
      <c r="F16" s="9">
        <v>5.74E-2</v>
      </c>
      <c r="G16" s="9">
        <v>1.01E-2</v>
      </c>
      <c r="H16" s="10">
        <v>0.48099999999999998</v>
      </c>
      <c r="I16" s="78">
        <v>12.49</v>
      </c>
      <c r="J16" s="78">
        <v>7.94</v>
      </c>
      <c r="K16" s="78">
        <v>11.72</v>
      </c>
      <c r="L16" s="49"/>
    </row>
    <row r="17" spans="1:12" x14ac:dyDescent="0.3">
      <c r="A17" s="42"/>
      <c r="B17" s="15" t="s">
        <v>15</v>
      </c>
      <c r="C17" s="8" t="s">
        <v>29</v>
      </c>
      <c r="D17" s="11" t="s">
        <v>100</v>
      </c>
      <c r="E17" s="26" t="s">
        <v>101</v>
      </c>
      <c r="F17" s="9">
        <v>6.3399999999999998E-2</v>
      </c>
      <c r="G17" s="9">
        <v>1.5699999999999999E-2</v>
      </c>
      <c r="H17" s="10">
        <v>0.56299999999999994</v>
      </c>
      <c r="I17" s="78">
        <v>19.920000000000002</v>
      </c>
      <c r="J17" s="78">
        <v>9.98</v>
      </c>
      <c r="K17" s="78">
        <v>17.059999999999999</v>
      </c>
      <c r="L17" s="49"/>
    </row>
    <row r="18" spans="1:12" x14ac:dyDescent="0.3">
      <c r="A18" s="42"/>
      <c r="B18" s="15"/>
      <c r="C18" s="8"/>
      <c r="D18" s="11"/>
      <c r="E18" s="26"/>
      <c r="F18" s="9"/>
      <c r="G18" s="9"/>
      <c r="H18" s="10"/>
      <c r="I18" s="78"/>
      <c r="J18" s="78"/>
      <c r="K18" s="78"/>
      <c r="L18" s="49"/>
    </row>
    <row r="19" spans="1:12" ht="15" thickBot="1" x14ac:dyDescent="0.35">
      <c r="A19" s="42"/>
      <c r="B19" s="16"/>
      <c r="C19" s="17"/>
      <c r="D19" s="23"/>
      <c r="E19" s="27"/>
      <c r="F19" s="18"/>
      <c r="G19" s="18"/>
      <c r="H19" s="50"/>
      <c r="I19" s="80"/>
      <c r="J19" s="80"/>
      <c r="K19" s="80"/>
      <c r="L19" s="52"/>
    </row>
    <row r="20" spans="1:12" ht="15" thickTop="1" x14ac:dyDescent="0.3">
      <c r="A20" s="42"/>
      <c r="B20" s="38"/>
      <c r="C20" s="38"/>
      <c r="D20" s="63"/>
      <c r="E20" s="39"/>
      <c r="F20" s="40"/>
      <c r="G20" s="40"/>
      <c r="H20" s="41"/>
      <c r="I20" s="42"/>
      <c r="J20" s="42"/>
      <c r="K20" s="42"/>
    </row>
    <row r="21" spans="1:12" s="19" customFormat="1" ht="18.600000000000001" thickBot="1" x14ac:dyDescent="0.4">
      <c r="A21" s="38"/>
      <c r="B21" s="59" t="s">
        <v>121</v>
      </c>
      <c r="C21" s="38"/>
      <c r="D21" s="63"/>
      <c r="E21" s="43"/>
      <c r="F21" s="45"/>
      <c r="G21" s="45"/>
      <c r="H21" s="44"/>
      <c r="I21" s="38"/>
      <c r="J21" s="38"/>
      <c r="K21" s="38"/>
    </row>
    <row r="22" spans="1:12" s="19" customFormat="1" ht="15" thickTop="1" x14ac:dyDescent="0.3">
      <c r="A22" s="38"/>
      <c r="B22" s="12"/>
      <c r="C22" s="13"/>
      <c r="D22" s="21"/>
      <c r="E22" s="28"/>
      <c r="F22" s="22"/>
      <c r="G22" s="22"/>
      <c r="H22" s="53"/>
      <c r="I22" s="81"/>
      <c r="J22" s="81"/>
      <c r="K22" s="81"/>
      <c r="L22" s="54"/>
    </row>
    <row r="23" spans="1:12" s="19" customFormat="1" x14ac:dyDescent="0.3">
      <c r="A23" s="38"/>
      <c r="B23" s="68" t="s">
        <v>14</v>
      </c>
      <c r="C23" s="69" t="s">
        <v>103</v>
      </c>
      <c r="D23" s="70" t="s">
        <v>57</v>
      </c>
      <c r="E23" s="71" t="s">
        <v>58</v>
      </c>
      <c r="F23" s="72">
        <v>4.53E-2</v>
      </c>
      <c r="G23" s="72">
        <v>2.3E-3</v>
      </c>
      <c r="H23" s="73">
        <v>0.36799999999999999</v>
      </c>
      <c r="I23" s="82">
        <v>25.46</v>
      </c>
      <c r="J23" s="82">
        <v>17.600000000000001</v>
      </c>
      <c r="K23" s="82">
        <v>25.66</v>
      </c>
      <c r="L23" s="74"/>
    </row>
    <row r="24" spans="1:12" s="19" customFormat="1" x14ac:dyDescent="0.3">
      <c r="A24" s="38"/>
      <c r="B24" s="68" t="s">
        <v>14</v>
      </c>
      <c r="C24" s="69" t="s">
        <v>103</v>
      </c>
      <c r="D24" s="70" t="s">
        <v>159</v>
      </c>
      <c r="E24" s="71" t="s">
        <v>104</v>
      </c>
      <c r="F24" s="72">
        <v>4.3400000000000001E-2</v>
      </c>
      <c r="G24" s="72">
        <v>4.5999999999999999E-3</v>
      </c>
      <c r="H24" s="73">
        <v>0.42</v>
      </c>
      <c r="I24" s="82">
        <v>38.07</v>
      </c>
      <c r="J24" s="82">
        <v>25.12</v>
      </c>
      <c r="K24" s="82">
        <v>38.31</v>
      </c>
      <c r="L24" s="74"/>
    </row>
    <row r="25" spans="1:12" s="19" customFormat="1" x14ac:dyDescent="0.3">
      <c r="A25" s="38"/>
      <c r="B25" s="68" t="s">
        <v>14</v>
      </c>
      <c r="C25" s="69" t="s">
        <v>107</v>
      </c>
      <c r="D25" s="70" t="s">
        <v>105</v>
      </c>
      <c r="E25" s="71" t="s">
        <v>106</v>
      </c>
      <c r="F25" s="72">
        <v>4.9500000000000002E-2</v>
      </c>
      <c r="G25" s="72">
        <v>4.8999999999999998E-3</v>
      </c>
      <c r="H25" s="73">
        <v>0.50900000000000001</v>
      </c>
      <c r="I25" s="82">
        <v>34.049999999999997</v>
      </c>
      <c r="J25" s="82">
        <v>20.78</v>
      </c>
      <c r="K25" s="82">
        <v>30.91</v>
      </c>
      <c r="L25" s="74"/>
    </row>
    <row r="26" spans="1:12" s="19" customFormat="1" x14ac:dyDescent="0.3">
      <c r="A26" s="38"/>
      <c r="B26" s="15" t="s">
        <v>14</v>
      </c>
      <c r="C26" s="8" t="s">
        <v>45</v>
      </c>
      <c r="D26" s="11" t="s">
        <v>49</v>
      </c>
      <c r="E26" s="29" t="s">
        <v>50</v>
      </c>
      <c r="F26" s="20">
        <v>7.3300000000000004E-2</v>
      </c>
      <c r="G26" s="20">
        <v>5.8999999999999999E-3</v>
      </c>
      <c r="H26" s="55">
        <v>0.68200000000000005</v>
      </c>
      <c r="I26" s="83">
        <v>17.21</v>
      </c>
      <c r="J26" s="83">
        <v>8.48</v>
      </c>
      <c r="K26" s="83">
        <v>13.39</v>
      </c>
      <c r="L26" s="56"/>
    </row>
    <row r="27" spans="1:12" x14ac:dyDescent="0.3">
      <c r="B27" s="64"/>
      <c r="C27" s="1"/>
      <c r="D27" s="66"/>
      <c r="E27" s="1"/>
      <c r="F27" s="1"/>
      <c r="G27" s="1"/>
      <c r="H27" s="1"/>
      <c r="I27" s="78"/>
      <c r="J27" s="78"/>
      <c r="K27" s="78"/>
      <c r="L27" s="49"/>
    </row>
    <row r="28" spans="1:12" s="19" customFormat="1" ht="15" thickBot="1" x14ac:dyDescent="0.35">
      <c r="A28" s="38"/>
      <c r="B28" s="16"/>
      <c r="C28" s="17"/>
      <c r="D28" s="23"/>
      <c r="E28" s="30"/>
      <c r="F28" s="24"/>
      <c r="G28" s="24"/>
      <c r="H28" s="57"/>
      <c r="I28" s="84"/>
      <c r="J28" s="84"/>
      <c r="K28" s="84"/>
      <c r="L28" s="58"/>
    </row>
    <row r="29" spans="1:12" s="19" customFormat="1" ht="15" thickTop="1" x14ac:dyDescent="0.3">
      <c r="A29" s="38"/>
      <c r="B29" s="38"/>
      <c r="C29" s="38"/>
      <c r="D29" s="63"/>
      <c r="E29" s="43"/>
      <c r="F29" s="45"/>
      <c r="G29" s="45"/>
      <c r="H29" s="44"/>
      <c r="I29" s="38"/>
      <c r="J29" s="38"/>
      <c r="K29" s="38"/>
    </row>
    <row r="30" spans="1:12" s="19" customFormat="1" ht="18.600000000000001" thickBot="1" x14ac:dyDescent="0.4">
      <c r="A30" s="38"/>
      <c r="B30" s="59" t="s">
        <v>112</v>
      </c>
      <c r="C30" s="38"/>
      <c r="D30" s="63"/>
      <c r="E30" s="43"/>
      <c r="F30" s="38"/>
      <c r="G30" s="38"/>
      <c r="H30" s="44"/>
      <c r="I30" s="38"/>
      <c r="J30" s="38"/>
      <c r="K30" s="38"/>
    </row>
    <row r="31" spans="1:12" s="19" customFormat="1" ht="15" thickTop="1" x14ac:dyDescent="0.3">
      <c r="A31" s="38"/>
      <c r="B31" s="12"/>
      <c r="C31" s="13"/>
      <c r="D31" s="21"/>
      <c r="E31" s="28"/>
      <c r="F31" s="13"/>
      <c r="G31" s="13"/>
      <c r="H31" s="53"/>
      <c r="I31" s="81"/>
      <c r="J31" s="81"/>
      <c r="K31" s="81"/>
      <c r="L31" s="54"/>
    </row>
    <row r="32" spans="1:12" s="19" customFormat="1" x14ac:dyDescent="0.3">
      <c r="A32" s="38"/>
      <c r="B32" s="15" t="s">
        <v>14</v>
      </c>
      <c r="C32" s="8" t="s">
        <v>113</v>
      </c>
      <c r="D32" s="11" t="s">
        <v>20</v>
      </c>
      <c r="E32" s="29" t="s">
        <v>42</v>
      </c>
      <c r="F32" s="20">
        <v>1.5800000000000002E-2</v>
      </c>
      <c r="G32" s="20">
        <v>8.0000000000000004E-4</v>
      </c>
      <c r="H32" s="55">
        <v>0.38300000000000001</v>
      </c>
      <c r="I32" s="83">
        <v>83.01</v>
      </c>
      <c r="J32" s="83">
        <v>57.04</v>
      </c>
      <c r="K32" s="83">
        <v>96.28</v>
      </c>
      <c r="L32" s="56"/>
    </row>
    <row r="33" spans="1:12" s="19" customFormat="1" x14ac:dyDescent="0.3">
      <c r="A33" s="38"/>
      <c r="B33" s="15" t="s">
        <v>14</v>
      </c>
      <c r="C33" s="8" t="s">
        <v>107</v>
      </c>
      <c r="D33" s="11" t="s">
        <v>160</v>
      </c>
      <c r="E33" s="29" t="s">
        <v>114</v>
      </c>
      <c r="F33" s="20">
        <v>2.0500000000000001E-2</v>
      </c>
      <c r="G33" s="20">
        <v>8.0000000000000004E-4</v>
      </c>
      <c r="H33" s="55">
        <v>0.40500000000000003</v>
      </c>
      <c r="I33" s="83">
        <v>55.3</v>
      </c>
      <c r="J33" s="83">
        <v>37.33</v>
      </c>
      <c r="K33" s="83">
        <v>63.23</v>
      </c>
      <c r="L33" s="56"/>
    </row>
    <row r="34" spans="1:12" s="19" customFormat="1" x14ac:dyDescent="0.3">
      <c r="A34" s="38"/>
      <c r="B34" s="15" t="s">
        <v>14</v>
      </c>
      <c r="C34" s="8" t="s">
        <v>115</v>
      </c>
      <c r="D34" s="11" t="s">
        <v>116</v>
      </c>
      <c r="E34" s="29" t="s">
        <v>117</v>
      </c>
      <c r="F34" s="20">
        <v>1.78E-2</v>
      </c>
      <c r="G34" s="20">
        <v>1.1000000000000001E-3</v>
      </c>
      <c r="H34" s="55">
        <v>0.47299999999999998</v>
      </c>
      <c r="I34" s="83">
        <v>109.46</v>
      </c>
      <c r="J34" s="83">
        <v>69.23</v>
      </c>
      <c r="K34" s="83">
        <v>125.83</v>
      </c>
      <c r="L34" s="56"/>
    </row>
    <row r="35" spans="1:12" s="19" customFormat="1" x14ac:dyDescent="0.3">
      <c r="A35" s="38"/>
      <c r="B35" s="15" t="s">
        <v>14</v>
      </c>
      <c r="C35" s="8" t="s">
        <v>54</v>
      </c>
      <c r="D35" s="11" t="s">
        <v>55</v>
      </c>
      <c r="E35" s="29" t="s">
        <v>56</v>
      </c>
      <c r="F35" s="20">
        <v>1.3899999999999999E-2</v>
      </c>
      <c r="G35" s="20">
        <v>2.9999999999999997E-4</v>
      </c>
      <c r="H35" s="55">
        <v>0.39700000000000002</v>
      </c>
      <c r="I35" s="83">
        <v>172.17</v>
      </c>
      <c r="J35" s="83">
        <v>119.21</v>
      </c>
      <c r="K35" s="83">
        <v>201.22</v>
      </c>
      <c r="L35" s="56"/>
    </row>
    <row r="36" spans="1:12" s="19" customFormat="1" x14ac:dyDescent="0.3">
      <c r="A36" s="38"/>
      <c r="B36" s="15" t="s">
        <v>14</v>
      </c>
      <c r="C36" s="8" t="s">
        <v>119</v>
      </c>
      <c r="D36" s="11" t="s">
        <v>118</v>
      </c>
      <c r="E36" s="29" t="s">
        <v>120</v>
      </c>
      <c r="F36" s="20">
        <v>2.01E-2</v>
      </c>
      <c r="G36" s="20">
        <v>1.2999999999999999E-3</v>
      </c>
      <c r="H36" s="55">
        <v>0.318</v>
      </c>
      <c r="I36" s="83">
        <v>94.34</v>
      </c>
      <c r="J36" s="83">
        <v>67.2</v>
      </c>
      <c r="K36" s="83">
        <v>92.27</v>
      </c>
      <c r="L36" s="56"/>
    </row>
    <row r="37" spans="1:12" s="19" customFormat="1" x14ac:dyDescent="0.3">
      <c r="A37" s="38"/>
      <c r="B37" s="15" t="s">
        <v>14</v>
      </c>
      <c r="C37" s="8" t="s">
        <v>51</v>
      </c>
      <c r="D37" s="11" t="s">
        <v>52</v>
      </c>
      <c r="E37" s="29" t="s">
        <v>53</v>
      </c>
      <c r="F37" s="20">
        <v>8.2000000000000007E-3</v>
      </c>
      <c r="G37" s="20">
        <v>1E-3</v>
      </c>
      <c r="H37" s="55">
        <v>0.47</v>
      </c>
      <c r="I37" s="83">
        <v>135.35</v>
      </c>
      <c r="J37" s="83">
        <v>80.22</v>
      </c>
      <c r="K37" s="83">
        <v>171.59</v>
      </c>
      <c r="L37" s="56"/>
    </row>
    <row r="38" spans="1:12" s="19" customFormat="1" x14ac:dyDescent="0.3">
      <c r="A38" s="38"/>
      <c r="B38" s="15" t="s">
        <v>14</v>
      </c>
      <c r="C38" s="8" t="s">
        <v>51</v>
      </c>
      <c r="D38" s="11" t="s">
        <v>18</v>
      </c>
      <c r="E38" s="29" t="s">
        <v>59</v>
      </c>
      <c r="F38" s="20">
        <v>2.24E-2</v>
      </c>
      <c r="G38" s="20">
        <v>2.5000000000000001E-3</v>
      </c>
      <c r="H38" s="55">
        <v>0.436</v>
      </c>
      <c r="I38" s="83">
        <v>51.17</v>
      </c>
      <c r="J38" s="83">
        <v>30.58</v>
      </c>
      <c r="K38" s="83">
        <v>42.65</v>
      </c>
      <c r="L38" s="56"/>
    </row>
    <row r="39" spans="1:12" s="19" customFormat="1" x14ac:dyDescent="0.3">
      <c r="A39" s="38"/>
      <c r="B39" s="15"/>
      <c r="C39" s="8"/>
      <c r="D39" s="11"/>
      <c r="E39" s="29"/>
      <c r="F39" s="20"/>
      <c r="G39" s="20"/>
      <c r="H39" s="55"/>
      <c r="I39" s="83"/>
      <c r="J39" s="83"/>
      <c r="K39" s="83"/>
      <c r="L39" s="56"/>
    </row>
    <row r="40" spans="1:12" s="19" customFormat="1" ht="15" thickBot="1" x14ac:dyDescent="0.35">
      <c r="A40" s="38"/>
      <c r="B40" s="16"/>
      <c r="C40" s="17"/>
      <c r="D40" s="23"/>
      <c r="E40" s="30"/>
      <c r="F40" s="24"/>
      <c r="G40" s="24"/>
      <c r="H40" s="57"/>
      <c r="I40" s="84"/>
      <c r="J40" s="84"/>
      <c r="K40" s="84"/>
      <c r="L40" s="58"/>
    </row>
    <row r="41" spans="1:12" s="19" customFormat="1" ht="15" thickTop="1" x14ac:dyDescent="0.3">
      <c r="A41" s="38"/>
      <c r="B41" s="38"/>
      <c r="C41" s="38"/>
      <c r="D41" s="63"/>
      <c r="E41" s="43"/>
      <c r="F41" s="45"/>
      <c r="G41" s="45"/>
      <c r="H41" s="44"/>
      <c r="I41" s="38"/>
      <c r="J41" s="38"/>
      <c r="K41" s="38"/>
    </row>
    <row r="42" spans="1:12" s="19" customFormat="1" ht="18.600000000000001" thickBot="1" x14ac:dyDescent="0.4">
      <c r="A42" s="38"/>
      <c r="B42" s="59" t="s">
        <v>122</v>
      </c>
      <c r="C42" s="38"/>
      <c r="D42" s="63"/>
      <c r="E42" s="43"/>
      <c r="F42" s="38"/>
      <c r="G42" s="38"/>
      <c r="H42" s="44"/>
      <c r="I42" s="38"/>
      <c r="J42" s="38"/>
      <c r="K42" s="38"/>
    </row>
    <row r="43" spans="1:12" s="19" customFormat="1" ht="15" thickTop="1" x14ac:dyDescent="0.3">
      <c r="A43" s="38"/>
      <c r="B43" s="12"/>
      <c r="C43" s="13"/>
      <c r="D43" s="21"/>
      <c r="E43" s="28"/>
      <c r="F43" s="13"/>
      <c r="G43" s="13"/>
      <c r="H43" s="53"/>
      <c r="I43" s="81"/>
      <c r="J43" s="81"/>
      <c r="K43" s="81"/>
      <c r="L43" s="54"/>
    </row>
    <row r="44" spans="1:12" s="19" customFormat="1" x14ac:dyDescent="0.3">
      <c r="A44" s="38"/>
      <c r="B44" s="15" t="s">
        <v>14</v>
      </c>
      <c r="C44" s="8" t="s">
        <v>43</v>
      </c>
      <c r="D44" s="11" t="s">
        <v>38</v>
      </c>
      <c r="E44" s="29" t="s">
        <v>39</v>
      </c>
      <c r="F44" s="20">
        <v>1.5699999999999999E-2</v>
      </c>
      <c r="G44" s="20">
        <v>1E-3</v>
      </c>
      <c r="H44" s="55">
        <v>0.45700000000000002</v>
      </c>
      <c r="I44" s="83">
        <v>131.16999999999999</v>
      </c>
      <c r="J44" s="83">
        <v>86.39</v>
      </c>
      <c r="K44" s="83">
        <v>162.27000000000001</v>
      </c>
      <c r="L44" s="56"/>
    </row>
    <row r="45" spans="1:12" s="19" customFormat="1" x14ac:dyDescent="0.3">
      <c r="A45" s="38"/>
      <c r="B45" s="15" t="s">
        <v>14</v>
      </c>
      <c r="C45" s="8" t="s">
        <v>73</v>
      </c>
      <c r="D45" s="11" t="s">
        <v>74</v>
      </c>
      <c r="E45" s="29" t="s">
        <v>75</v>
      </c>
      <c r="F45" s="20">
        <v>1.61E-2</v>
      </c>
      <c r="G45" s="20">
        <v>1E-3</v>
      </c>
      <c r="H45" s="55">
        <v>0.42</v>
      </c>
      <c r="I45" s="83">
        <v>201.95</v>
      </c>
      <c r="J45" s="83">
        <v>127.14</v>
      </c>
      <c r="K45" s="83">
        <v>294.10000000000002</v>
      </c>
      <c r="L45" s="56"/>
    </row>
    <row r="46" spans="1:12" s="19" customFormat="1" x14ac:dyDescent="0.3">
      <c r="A46" s="38"/>
      <c r="B46" s="15" t="s">
        <v>14</v>
      </c>
      <c r="C46" s="8" t="s">
        <v>46</v>
      </c>
      <c r="D46" s="11" t="s">
        <v>47</v>
      </c>
      <c r="E46" s="29" t="s">
        <v>48</v>
      </c>
      <c r="F46" s="20">
        <v>2.4E-2</v>
      </c>
      <c r="G46" s="20">
        <v>1E-3</v>
      </c>
      <c r="H46" s="55">
        <v>0.28199999999999997</v>
      </c>
      <c r="I46" s="83">
        <v>164.05</v>
      </c>
      <c r="J46" s="83">
        <v>138.91</v>
      </c>
      <c r="K46" s="83">
        <v>169.4</v>
      </c>
      <c r="L46" s="56"/>
    </row>
    <row r="47" spans="1:12" s="19" customFormat="1" x14ac:dyDescent="0.3">
      <c r="A47" s="38"/>
      <c r="B47" s="15" t="s">
        <v>14</v>
      </c>
      <c r="C47" s="8" t="s">
        <v>69</v>
      </c>
      <c r="D47" s="11" t="s">
        <v>76</v>
      </c>
      <c r="E47" s="29" t="s">
        <v>77</v>
      </c>
      <c r="F47" s="20">
        <v>2.1100000000000001E-2</v>
      </c>
      <c r="G47" s="20">
        <v>1E-3</v>
      </c>
      <c r="H47" s="55">
        <v>0.44</v>
      </c>
      <c r="I47" s="83">
        <v>76.84</v>
      </c>
      <c r="J47" s="83">
        <v>45.99</v>
      </c>
      <c r="K47" s="83">
        <v>75.760000000000005</v>
      </c>
      <c r="L47" s="56"/>
    </row>
    <row r="48" spans="1:12" s="19" customFormat="1" x14ac:dyDescent="0.3">
      <c r="A48" s="38"/>
      <c r="B48" s="15" t="s">
        <v>14</v>
      </c>
      <c r="C48" s="8" t="s">
        <v>80</v>
      </c>
      <c r="D48" s="11" t="s">
        <v>78</v>
      </c>
      <c r="E48" s="29" t="s">
        <v>79</v>
      </c>
      <c r="F48" s="20">
        <v>7.1999999999999998E-3</v>
      </c>
      <c r="G48" s="20">
        <v>1E-3</v>
      </c>
      <c r="H48" s="55">
        <v>0.32700000000000001</v>
      </c>
      <c r="I48" s="83">
        <v>270.19</v>
      </c>
      <c r="J48" s="83">
        <v>194.69</v>
      </c>
      <c r="K48" s="83">
        <v>364.86</v>
      </c>
      <c r="L48" s="56"/>
    </row>
    <row r="49" spans="1:12" s="19" customFormat="1" x14ac:dyDescent="0.3">
      <c r="A49" s="38"/>
      <c r="B49" s="15" t="s">
        <v>14</v>
      </c>
      <c r="C49" s="8" t="s">
        <v>81</v>
      </c>
      <c r="D49" s="11" t="s">
        <v>82</v>
      </c>
      <c r="E49" s="29" t="s">
        <v>83</v>
      </c>
      <c r="F49" s="20">
        <v>1.2800000000000001E-2</v>
      </c>
      <c r="G49" s="20">
        <v>1E-3</v>
      </c>
      <c r="H49" s="55">
        <v>0.42099999999999999</v>
      </c>
      <c r="I49" s="83">
        <v>158.81</v>
      </c>
      <c r="J49" s="83">
        <v>99.41</v>
      </c>
      <c r="K49" s="83">
        <v>173.47</v>
      </c>
      <c r="L49" s="56"/>
    </row>
    <row r="50" spans="1:12" s="19" customFormat="1" x14ac:dyDescent="0.3">
      <c r="A50" s="38"/>
      <c r="B50" s="15" t="s">
        <v>14</v>
      </c>
      <c r="C50" s="8" t="s">
        <v>19</v>
      </c>
      <c r="D50" s="105" t="s">
        <v>31</v>
      </c>
      <c r="E50" s="29" t="s">
        <v>32</v>
      </c>
      <c r="F50" s="20">
        <v>3.8100000000000002E-2</v>
      </c>
      <c r="G50" s="20">
        <v>1.1999999999999999E-3</v>
      </c>
      <c r="H50" s="55">
        <v>0.40400000000000003</v>
      </c>
      <c r="I50" s="83">
        <v>99.45</v>
      </c>
      <c r="J50" s="83">
        <v>62.59</v>
      </c>
      <c r="K50" s="83">
        <v>85.57</v>
      </c>
      <c r="L50" s="56"/>
    </row>
    <row r="51" spans="1:12" s="19" customFormat="1" x14ac:dyDescent="0.3">
      <c r="A51" s="38"/>
      <c r="B51" s="15" t="s">
        <v>14</v>
      </c>
      <c r="C51" s="8" t="s">
        <v>44</v>
      </c>
      <c r="D51" s="11" t="s">
        <v>36</v>
      </c>
      <c r="E51" s="29" t="s">
        <v>37</v>
      </c>
      <c r="F51" s="20">
        <v>3.0700000000000002E-2</v>
      </c>
      <c r="G51" s="20">
        <v>1E-3</v>
      </c>
      <c r="H51" s="55">
        <v>0.32900000000000001</v>
      </c>
      <c r="I51" s="83">
        <v>154.63999999999999</v>
      </c>
      <c r="J51" s="83">
        <v>119.66</v>
      </c>
      <c r="K51" s="83">
        <v>137.32</v>
      </c>
      <c r="L51" s="56"/>
    </row>
    <row r="52" spans="1:12" s="19" customFormat="1" x14ac:dyDescent="0.3">
      <c r="A52" s="38"/>
      <c r="B52" s="15" t="s">
        <v>14</v>
      </c>
      <c r="C52" s="8" t="s">
        <v>84</v>
      </c>
      <c r="D52" s="11" t="s">
        <v>85</v>
      </c>
      <c r="E52" s="29" t="s">
        <v>86</v>
      </c>
      <c r="F52" s="20">
        <v>5.4000000000000003E-3</v>
      </c>
      <c r="G52" s="20">
        <v>1.2999999999999999E-3</v>
      </c>
      <c r="H52" s="55">
        <v>0.32200000000000001</v>
      </c>
      <c r="I52" s="83">
        <v>56.82</v>
      </c>
      <c r="J52" s="83">
        <v>41.34</v>
      </c>
      <c r="K52" s="83">
        <v>68.81</v>
      </c>
      <c r="L52" s="56"/>
    </row>
    <row r="53" spans="1:12" s="19" customFormat="1" x14ac:dyDescent="0.3">
      <c r="A53" s="38"/>
      <c r="B53" s="15" t="s">
        <v>14</v>
      </c>
      <c r="C53" s="8" t="s">
        <v>87</v>
      </c>
      <c r="D53" s="11" t="s">
        <v>88</v>
      </c>
      <c r="E53" s="29" t="s">
        <v>89</v>
      </c>
      <c r="F53" s="20">
        <v>5.4899999999999997E-2</v>
      </c>
      <c r="G53" s="20">
        <v>1.2999999999999999E-3</v>
      </c>
      <c r="H53" s="55">
        <v>0.76700000000000002</v>
      </c>
      <c r="I53" s="83">
        <v>54.85</v>
      </c>
      <c r="J53" s="83">
        <v>23.98</v>
      </c>
      <c r="K53" s="83">
        <v>42.07</v>
      </c>
      <c r="L53" s="56"/>
    </row>
    <row r="54" spans="1:12" s="19" customFormat="1" x14ac:dyDescent="0.3">
      <c r="A54" s="38"/>
      <c r="B54" s="15" t="s">
        <v>14</v>
      </c>
      <c r="C54" s="8" t="s">
        <v>68</v>
      </c>
      <c r="D54" s="11" t="s">
        <v>71</v>
      </c>
      <c r="E54" s="29" t="s">
        <v>72</v>
      </c>
      <c r="F54" s="20">
        <v>1.3599999999999999E-2</v>
      </c>
      <c r="G54" s="20">
        <v>1.2999999999999999E-3</v>
      </c>
      <c r="H54" s="55">
        <v>0.25</v>
      </c>
      <c r="I54" s="83">
        <v>104.04</v>
      </c>
      <c r="J54" s="83">
        <v>83.97</v>
      </c>
      <c r="K54" s="83">
        <v>117.59</v>
      </c>
      <c r="L54" s="56"/>
    </row>
    <row r="55" spans="1:12" s="19" customFormat="1" x14ac:dyDescent="0.3">
      <c r="A55" s="38"/>
      <c r="B55" s="15"/>
      <c r="C55" s="8"/>
      <c r="D55" s="11"/>
      <c r="E55" s="29"/>
      <c r="F55" s="20"/>
      <c r="G55" s="20"/>
      <c r="H55" s="55"/>
      <c r="I55" s="83"/>
      <c r="J55" s="83"/>
      <c r="K55" s="83"/>
      <c r="L55" s="56"/>
    </row>
    <row r="56" spans="1:12" s="19" customFormat="1" ht="15" thickBot="1" x14ac:dyDescent="0.35">
      <c r="A56" s="38"/>
      <c r="B56" s="16"/>
      <c r="C56" s="17"/>
      <c r="D56" s="23"/>
      <c r="E56" s="30"/>
      <c r="F56" s="24"/>
      <c r="G56" s="24"/>
      <c r="H56" s="57"/>
      <c r="I56" s="84"/>
      <c r="J56" s="84"/>
      <c r="K56" s="84"/>
      <c r="L56" s="58"/>
    </row>
    <row r="57" spans="1:12" s="19" customFormat="1" ht="15" thickTop="1" x14ac:dyDescent="0.3">
      <c r="A57" s="38"/>
      <c r="B57" s="38"/>
      <c r="C57" s="38"/>
      <c r="D57" s="63"/>
      <c r="E57" s="43"/>
      <c r="F57" s="45"/>
      <c r="G57" s="45"/>
      <c r="H57" s="44"/>
      <c r="I57" s="38"/>
      <c r="J57" s="38"/>
      <c r="K57" s="38"/>
    </row>
    <row r="58" spans="1:12" s="19" customFormat="1" ht="18.600000000000001" thickBot="1" x14ac:dyDescent="0.4">
      <c r="A58" s="38"/>
      <c r="B58" s="59" t="s">
        <v>70</v>
      </c>
      <c r="C58" s="38"/>
      <c r="D58" s="63"/>
      <c r="E58" s="43"/>
      <c r="F58" s="45"/>
      <c r="G58" s="45"/>
      <c r="H58" s="44"/>
      <c r="I58" s="38"/>
      <c r="J58" s="38"/>
      <c r="K58" s="38"/>
    </row>
    <row r="59" spans="1:12" ht="15" thickTop="1" x14ac:dyDescent="0.3">
      <c r="A59" s="42"/>
      <c r="B59" s="12"/>
      <c r="C59" s="13"/>
      <c r="D59" s="21"/>
      <c r="E59" s="25"/>
      <c r="F59" s="14"/>
      <c r="G59" s="14"/>
      <c r="H59" s="61"/>
      <c r="I59" s="85"/>
      <c r="J59" s="85"/>
      <c r="K59" s="85"/>
      <c r="L59" s="62"/>
    </row>
    <row r="60" spans="1:12" x14ac:dyDescent="0.3">
      <c r="A60" s="42"/>
      <c r="B60" s="15" t="s">
        <v>19</v>
      </c>
      <c r="C60" s="8" t="s">
        <v>108</v>
      </c>
      <c r="D60" s="11" t="s">
        <v>40</v>
      </c>
      <c r="E60" s="26" t="s">
        <v>41</v>
      </c>
      <c r="F60" s="9">
        <v>4.5400000000000003E-2</v>
      </c>
      <c r="G60" s="9">
        <v>0</v>
      </c>
      <c r="H60" s="10">
        <v>0.32</v>
      </c>
      <c r="I60" s="78">
        <v>25.27</v>
      </c>
      <c r="J60" s="78">
        <v>23.64</v>
      </c>
      <c r="K60" s="78">
        <v>23.13</v>
      </c>
      <c r="L60" s="49"/>
    </row>
    <row r="61" spans="1:12" x14ac:dyDescent="0.3">
      <c r="A61" s="42"/>
      <c r="B61" s="15" t="s">
        <v>19</v>
      </c>
      <c r="C61" s="8" t="s">
        <v>35</v>
      </c>
      <c r="D61" s="105" t="s">
        <v>31</v>
      </c>
      <c r="E61" s="26" t="s">
        <v>32</v>
      </c>
      <c r="F61" s="9">
        <v>3.8100000000000002E-2</v>
      </c>
      <c r="G61" s="9">
        <v>1.1999999999999999E-3</v>
      </c>
      <c r="H61" s="10">
        <v>0.40400000000000003</v>
      </c>
      <c r="I61" s="78">
        <v>98.11</v>
      </c>
      <c r="J61" s="78">
        <v>62.59</v>
      </c>
      <c r="K61" s="78">
        <v>85.57</v>
      </c>
      <c r="L61" s="49"/>
    </row>
    <row r="62" spans="1:12" x14ac:dyDescent="0.3">
      <c r="A62" s="42"/>
      <c r="B62" s="15" t="s">
        <v>19</v>
      </c>
      <c r="C62" s="8" t="s">
        <v>110</v>
      </c>
      <c r="D62" s="11" t="s">
        <v>109</v>
      </c>
      <c r="E62" s="26" t="s">
        <v>111</v>
      </c>
      <c r="F62" s="9">
        <v>3.1899999999999998E-2</v>
      </c>
      <c r="G62" s="9">
        <v>0</v>
      </c>
      <c r="H62" s="10">
        <v>0.438</v>
      </c>
      <c r="I62" s="78">
        <v>132.41</v>
      </c>
      <c r="J62" s="78">
        <v>137.34</v>
      </c>
      <c r="K62" s="78">
        <v>140.72</v>
      </c>
      <c r="L62" s="49"/>
    </row>
    <row r="63" spans="1:12" x14ac:dyDescent="0.3">
      <c r="A63" s="42"/>
      <c r="B63" s="15" t="s">
        <v>19</v>
      </c>
      <c r="C63" s="8" t="s">
        <v>35</v>
      </c>
      <c r="D63" s="11" t="s">
        <v>33</v>
      </c>
      <c r="E63" s="26" t="s">
        <v>34</v>
      </c>
      <c r="F63" s="9">
        <v>7.7200000000000005E-2</v>
      </c>
      <c r="G63" s="9">
        <v>4.1000000000000003E-3</v>
      </c>
      <c r="H63" s="10">
        <v>0.747</v>
      </c>
      <c r="I63" s="78">
        <v>25.93</v>
      </c>
      <c r="J63" s="78">
        <v>10.35</v>
      </c>
      <c r="K63" s="78">
        <v>17.13</v>
      </c>
      <c r="L63" s="49"/>
    </row>
    <row r="64" spans="1:12" x14ac:dyDescent="0.3">
      <c r="A64" s="42"/>
      <c r="B64" s="15"/>
      <c r="C64" s="8"/>
      <c r="D64" s="11"/>
      <c r="E64" s="26"/>
      <c r="F64" s="9"/>
      <c r="G64" s="9"/>
      <c r="H64" s="10"/>
      <c r="I64" s="78"/>
      <c r="J64" s="78"/>
      <c r="K64" s="78"/>
      <c r="L64" s="49"/>
    </row>
    <row r="65" spans="1:12" ht="15" thickBot="1" x14ac:dyDescent="0.35">
      <c r="A65" s="42"/>
      <c r="B65" s="16"/>
      <c r="C65" s="17"/>
      <c r="D65" s="23"/>
      <c r="E65" s="27"/>
      <c r="F65" s="18"/>
      <c r="G65" s="18"/>
      <c r="H65" s="50"/>
      <c r="I65" s="80"/>
      <c r="J65" s="80"/>
      <c r="K65" s="80"/>
      <c r="L65" s="52"/>
    </row>
    <row r="66" spans="1:12" s="19" customFormat="1" ht="15" thickTop="1" x14ac:dyDescent="0.3">
      <c r="A66" s="38"/>
      <c r="B66" s="38"/>
      <c r="C66" s="38"/>
      <c r="D66" s="63"/>
      <c r="E66" s="43"/>
      <c r="F66" s="45"/>
      <c r="G66" s="45"/>
      <c r="H66" s="44"/>
      <c r="I66" s="38"/>
      <c r="J66" s="38"/>
      <c r="K66" s="38"/>
    </row>
    <row r="67" spans="1:12" s="19" customFormat="1" x14ac:dyDescent="0.3">
      <c r="A67" s="38"/>
      <c r="B67" s="38"/>
      <c r="C67" s="38"/>
      <c r="D67" s="63"/>
      <c r="E67" s="43"/>
      <c r="F67" s="45"/>
      <c r="G67" s="45"/>
      <c r="H67" s="44"/>
      <c r="I67" s="38"/>
      <c r="J67" s="38"/>
      <c r="K67" s="38"/>
    </row>
    <row r="68" spans="1:12" s="19" customFormat="1" ht="18.600000000000001" thickBot="1" x14ac:dyDescent="0.4">
      <c r="A68" s="38"/>
      <c r="B68" s="59" t="s">
        <v>123</v>
      </c>
      <c r="C68" s="38"/>
      <c r="D68" s="63"/>
      <c r="E68" s="43"/>
      <c r="F68" s="45"/>
      <c r="G68" s="45"/>
      <c r="H68" s="44"/>
      <c r="I68" s="38"/>
      <c r="J68" s="38"/>
      <c r="K68" s="38"/>
    </row>
    <row r="69" spans="1:12" ht="15" thickTop="1" x14ac:dyDescent="0.3">
      <c r="A69" s="42"/>
      <c r="B69" s="12"/>
      <c r="C69" s="13"/>
      <c r="D69" s="21"/>
      <c r="E69" s="13"/>
      <c r="F69" s="14"/>
      <c r="G69" s="14"/>
      <c r="H69" s="61"/>
      <c r="I69" s="85"/>
      <c r="J69" s="85"/>
      <c r="K69" s="85"/>
      <c r="L69" s="62"/>
    </row>
    <row r="70" spans="1:12" x14ac:dyDescent="0.3">
      <c r="A70" s="42"/>
      <c r="B70" s="15" t="s">
        <v>14</v>
      </c>
      <c r="C70" s="8" t="s">
        <v>125</v>
      </c>
      <c r="D70" s="11" t="s">
        <v>60</v>
      </c>
      <c r="E70" s="29" t="s">
        <v>61</v>
      </c>
      <c r="F70" s="9">
        <v>-7.4999999999999997E-3</v>
      </c>
      <c r="G70" s="9">
        <v>7.4999999999999997E-3</v>
      </c>
      <c r="H70" s="10">
        <v>0.36</v>
      </c>
      <c r="I70" s="78">
        <v>37.22</v>
      </c>
      <c r="J70" s="78">
        <v>25.02</v>
      </c>
      <c r="K70" s="78">
        <v>109.54</v>
      </c>
      <c r="L70" s="49"/>
    </row>
    <row r="71" spans="1:12" x14ac:dyDescent="0.3">
      <c r="A71" s="42"/>
      <c r="B71" s="15" t="s">
        <v>14</v>
      </c>
      <c r="C71" s="8" t="s">
        <v>126</v>
      </c>
      <c r="D71" s="11" t="s">
        <v>62</v>
      </c>
      <c r="E71" s="29" t="s">
        <v>63</v>
      </c>
      <c r="F71" s="9">
        <v>-1.1999999999999999E-3</v>
      </c>
      <c r="G71" s="9">
        <v>4.5999999999999999E-3</v>
      </c>
      <c r="H71" s="10">
        <v>0.67300000000000004</v>
      </c>
      <c r="I71" s="78">
        <v>13.71</v>
      </c>
      <c r="J71" s="78">
        <v>8.5</v>
      </c>
      <c r="K71" s="78">
        <v>32.659999999999997</v>
      </c>
      <c r="L71" s="49"/>
    </row>
    <row r="72" spans="1:12" x14ac:dyDescent="0.3">
      <c r="A72" s="42"/>
      <c r="B72" s="15" t="s">
        <v>14</v>
      </c>
      <c r="C72" s="8" t="s">
        <v>127</v>
      </c>
      <c r="D72" s="11" t="s">
        <v>128</v>
      </c>
      <c r="E72" s="8" t="s">
        <v>129</v>
      </c>
      <c r="F72" s="9">
        <v>-6.0000000000000001E-3</v>
      </c>
      <c r="G72" s="9">
        <v>6.0000000000000001E-3</v>
      </c>
      <c r="H72" s="10">
        <v>0.68</v>
      </c>
      <c r="I72" s="78">
        <v>31.1</v>
      </c>
      <c r="J72" s="78">
        <v>12.76</v>
      </c>
      <c r="K72" s="78">
        <v>22.38</v>
      </c>
      <c r="L72" s="49" t="s">
        <v>137</v>
      </c>
    </row>
    <row r="73" spans="1:12" x14ac:dyDescent="0.3">
      <c r="A73" s="42"/>
      <c r="B73" s="15"/>
      <c r="C73" s="8"/>
      <c r="D73" s="11"/>
      <c r="E73" s="8"/>
      <c r="F73" s="9"/>
      <c r="G73" s="9"/>
      <c r="H73" s="10"/>
      <c r="I73" s="78"/>
      <c r="J73" s="78"/>
      <c r="K73" s="78"/>
      <c r="L73" s="49"/>
    </row>
    <row r="74" spans="1:12" ht="15" thickBot="1" x14ac:dyDescent="0.35">
      <c r="A74" s="42"/>
      <c r="B74" s="65"/>
      <c r="C74" s="51"/>
      <c r="D74" s="67"/>
      <c r="E74" s="51"/>
      <c r="F74" s="51"/>
      <c r="G74" s="51"/>
      <c r="H74" s="51"/>
      <c r="I74" s="80"/>
      <c r="J74" s="80"/>
      <c r="K74" s="80"/>
      <c r="L74" s="52"/>
    </row>
    <row r="75" spans="1:12" ht="15" thickTop="1" x14ac:dyDescent="0.3"/>
    <row r="76" spans="1:12" s="19" customFormat="1" ht="18.600000000000001" thickBot="1" x14ac:dyDescent="0.4">
      <c r="A76" s="38"/>
      <c r="B76" s="59" t="s">
        <v>124</v>
      </c>
      <c r="C76" s="38"/>
      <c r="D76" s="63"/>
      <c r="E76" s="43"/>
      <c r="F76" s="45"/>
      <c r="G76" s="45"/>
      <c r="H76" s="44"/>
      <c r="I76" s="38"/>
      <c r="J76" s="38"/>
      <c r="K76" s="38"/>
    </row>
    <row r="77" spans="1:12" ht="15" thickTop="1" x14ac:dyDescent="0.3">
      <c r="A77" s="42"/>
      <c r="B77" s="12"/>
      <c r="C77" s="13"/>
      <c r="D77" s="21"/>
      <c r="E77" s="13"/>
      <c r="F77" s="14"/>
      <c r="G77" s="14"/>
      <c r="H77" s="61"/>
      <c r="I77" s="85"/>
      <c r="J77" s="85"/>
      <c r="K77" s="85"/>
      <c r="L77" s="62"/>
    </row>
    <row r="78" spans="1:12" x14ac:dyDescent="0.3">
      <c r="A78" s="42"/>
      <c r="B78" s="15" t="s">
        <v>14</v>
      </c>
      <c r="C78" s="8" t="s">
        <v>138</v>
      </c>
      <c r="D78" s="11" t="s">
        <v>139</v>
      </c>
      <c r="E78" s="29" t="s">
        <v>140</v>
      </c>
      <c r="F78" s="9">
        <v>4.6899999999999997E-2</v>
      </c>
      <c r="G78" s="9">
        <v>0</v>
      </c>
      <c r="H78" s="10">
        <v>0.5</v>
      </c>
      <c r="I78" s="78">
        <v>93.61</v>
      </c>
      <c r="J78" s="78">
        <v>71.03</v>
      </c>
      <c r="K78" s="78">
        <v>112.62</v>
      </c>
      <c r="L78" s="49" t="s">
        <v>133</v>
      </c>
    </row>
    <row r="79" spans="1:12" x14ac:dyDescent="0.3">
      <c r="A79" s="42"/>
      <c r="B79" s="15" t="s">
        <v>14</v>
      </c>
      <c r="C79" s="8" t="s">
        <v>142</v>
      </c>
      <c r="D79" s="11" t="s">
        <v>144</v>
      </c>
      <c r="E79" s="29" t="s">
        <v>145</v>
      </c>
      <c r="F79" s="9">
        <v>0</v>
      </c>
      <c r="G79" s="9">
        <v>0</v>
      </c>
      <c r="H79" s="10">
        <v>0.89</v>
      </c>
      <c r="I79" s="78">
        <v>42.92</v>
      </c>
      <c r="J79" s="78">
        <v>9.32</v>
      </c>
      <c r="K79" s="78">
        <v>20.74</v>
      </c>
      <c r="L79" s="49" t="s">
        <v>143</v>
      </c>
    </row>
    <row r="80" spans="1:12" x14ac:dyDescent="0.3">
      <c r="A80" s="42"/>
      <c r="B80" s="68" t="s">
        <v>14</v>
      </c>
      <c r="C80" s="69" t="s">
        <v>148</v>
      </c>
      <c r="D80" s="70" t="s">
        <v>149</v>
      </c>
      <c r="E80" s="71" t="s">
        <v>150</v>
      </c>
      <c r="F80" s="75">
        <v>0</v>
      </c>
      <c r="G80" s="75">
        <v>0</v>
      </c>
      <c r="H80" s="76">
        <v>0.69</v>
      </c>
      <c r="I80" s="86">
        <v>34.92</v>
      </c>
      <c r="J80" s="86">
        <v>16.8</v>
      </c>
      <c r="K80" s="86">
        <v>55.4</v>
      </c>
      <c r="L80" s="77" t="s">
        <v>151</v>
      </c>
    </row>
    <row r="81" spans="1:12" x14ac:dyDescent="0.3">
      <c r="A81" s="42"/>
      <c r="B81" s="68" t="s">
        <v>14</v>
      </c>
      <c r="C81" s="69" t="s">
        <v>134</v>
      </c>
      <c r="D81" s="70" t="s">
        <v>135</v>
      </c>
      <c r="E81" s="69" t="s">
        <v>136</v>
      </c>
      <c r="F81" s="75">
        <v>5.5E-2</v>
      </c>
      <c r="G81" s="75">
        <v>0</v>
      </c>
      <c r="H81" s="76">
        <v>0.56000000000000005</v>
      </c>
      <c r="I81" s="86">
        <v>150.86000000000001</v>
      </c>
      <c r="J81" s="86">
        <v>103.55</v>
      </c>
      <c r="K81" s="86">
        <v>130.08000000000001</v>
      </c>
      <c r="L81" s="77" t="s">
        <v>133</v>
      </c>
    </row>
    <row r="82" spans="1:12" x14ac:dyDescent="0.3">
      <c r="A82" s="42"/>
      <c r="B82" s="15" t="s">
        <v>14</v>
      </c>
      <c r="C82" s="8" t="s">
        <v>142</v>
      </c>
      <c r="D82" s="11" t="s">
        <v>161</v>
      </c>
      <c r="E82" s="29" t="s">
        <v>141</v>
      </c>
      <c r="F82" s="9">
        <v>0</v>
      </c>
      <c r="G82" s="9">
        <v>0</v>
      </c>
      <c r="H82" s="10">
        <v>0.89</v>
      </c>
      <c r="I82" s="78">
        <v>52.02</v>
      </c>
      <c r="J82" s="78">
        <v>7.77</v>
      </c>
      <c r="K82" s="78">
        <v>24.59</v>
      </c>
      <c r="L82" s="49" t="s">
        <v>143</v>
      </c>
    </row>
    <row r="83" spans="1:12" x14ac:dyDescent="0.3">
      <c r="A83" s="42"/>
      <c r="B83" s="15" t="s">
        <v>14</v>
      </c>
      <c r="C83" s="8" t="s">
        <v>142</v>
      </c>
      <c r="D83" s="11" t="s">
        <v>146</v>
      </c>
      <c r="E83" s="29" t="s">
        <v>147</v>
      </c>
      <c r="F83" s="9">
        <v>0</v>
      </c>
      <c r="G83" s="9">
        <v>0</v>
      </c>
      <c r="H83" s="10">
        <v>0.86</v>
      </c>
      <c r="I83" s="78">
        <v>111.01</v>
      </c>
      <c r="J83" s="78">
        <v>22.33</v>
      </c>
      <c r="K83" s="78">
        <v>72.66</v>
      </c>
      <c r="L83" s="49" t="s">
        <v>143</v>
      </c>
    </row>
    <row r="84" spans="1:12" x14ac:dyDescent="0.3">
      <c r="A84" s="42"/>
      <c r="B84" s="15" t="s">
        <v>14</v>
      </c>
      <c r="C84" s="8" t="s">
        <v>152</v>
      </c>
      <c r="D84" s="11" t="s">
        <v>153</v>
      </c>
      <c r="E84" s="29" t="s">
        <v>154</v>
      </c>
      <c r="F84" s="9">
        <v>2.3900000000000001E-2</v>
      </c>
      <c r="G84" s="9">
        <v>0</v>
      </c>
      <c r="H84" s="10">
        <v>0.7</v>
      </c>
      <c r="I84" s="78">
        <v>76.83</v>
      </c>
      <c r="J84" s="78">
        <v>31.24</v>
      </c>
      <c r="K84" s="78">
        <v>76.83</v>
      </c>
      <c r="L84" s="49" t="s">
        <v>155</v>
      </c>
    </row>
    <row r="85" spans="1:12" x14ac:dyDescent="0.3">
      <c r="A85" s="42"/>
      <c r="B85" s="15" t="s">
        <v>14</v>
      </c>
      <c r="C85" s="8" t="s">
        <v>130</v>
      </c>
      <c r="D85" s="11" t="s">
        <v>131</v>
      </c>
      <c r="E85" s="29" t="s">
        <v>132</v>
      </c>
      <c r="F85" s="9">
        <v>7.1900000000000006E-2</v>
      </c>
      <c r="G85" s="9">
        <v>0</v>
      </c>
      <c r="H85" s="10">
        <v>0.39</v>
      </c>
      <c r="I85" s="78">
        <v>38.26</v>
      </c>
      <c r="J85" s="78">
        <v>32.85</v>
      </c>
      <c r="K85" s="78">
        <v>28.93</v>
      </c>
      <c r="L85" s="49" t="s">
        <v>133</v>
      </c>
    </row>
    <row r="86" spans="1:12" x14ac:dyDescent="0.3">
      <c r="A86" s="42"/>
      <c r="B86" s="15"/>
      <c r="C86" s="8"/>
      <c r="D86" s="11"/>
      <c r="E86" s="8"/>
      <c r="F86" s="9"/>
      <c r="G86" s="9"/>
      <c r="H86" s="10"/>
      <c r="I86" s="78"/>
      <c r="J86" s="78"/>
      <c r="K86" s="78"/>
      <c r="L86" s="49"/>
    </row>
    <row r="87" spans="1:12" x14ac:dyDescent="0.3">
      <c r="A87" s="42"/>
      <c r="B87" s="15"/>
      <c r="C87" s="8"/>
      <c r="D87" s="11"/>
      <c r="E87" s="8"/>
      <c r="F87" s="9"/>
      <c r="G87" s="9"/>
      <c r="H87" s="10"/>
      <c r="I87" s="78"/>
      <c r="J87" s="78"/>
      <c r="K87" s="78"/>
      <c r="L87" s="49"/>
    </row>
    <row r="88" spans="1:12" ht="15" thickBot="1" x14ac:dyDescent="0.35">
      <c r="A88" s="42"/>
      <c r="B88" s="65"/>
      <c r="C88" s="51"/>
      <c r="D88" s="67"/>
      <c r="E88" s="51"/>
      <c r="F88" s="51"/>
      <c r="G88" s="51"/>
      <c r="H88" s="51"/>
      <c r="I88" s="80"/>
      <c r="J88" s="80"/>
      <c r="K88" s="80"/>
      <c r="L88" s="52"/>
    </row>
    <row r="89" spans="1:12" ht="15" thickTop="1" x14ac:dyDescent="0.3"/>
  </sheetData>
  <mergeCells count="1">
    <mergeCell ref="B2:L2"/>
  </mergeCells>
  <pageMargins left="0.25" right="0.25" top="0.75" bottom="0.75" header="0.3" footer="0.3"/>
  <pageSetup scale="58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2:O63"/>
  <sheetViews>
    <sheetView zoomScale="115" zoomScaleNormal="115" workbookViewId="0">
      <pane ySplit="16" topLeftCell="A17" activePane="bottomLeft" state="frozenSplit"/>
      <selection pane="bottomLeft" activeCell="G7" sqref="G7"/>
    </sheetView>
  </sheetViews>
  <sheetFormatPr defaultRowHeight="14.4" x14ac:dyDescent="0.3"/>
  <cols>
    <col min="2" max="2" width="18.77734375" bestFit="1" customWidth="1"/>
    <col min="3" max="3" width="10.109375" bestFit="1" customWidth="1"/>
    <col min="4" max="4" width="9.88671875" bestFit="1" customWidth="1"/>
    <col min="5" max="5" width="11" bestFit="1" customWidth="1"/>
    <col min="6" max="6" width="9.6640625" bestFit="1" customWidth="1"/>
    <col min="7" max="8" width="11" bestFit="1" customWidth="1"/>
  </cols>
  <sheetData>
    <row r="2" spans="2:15" s="117" customFormat="1" ht="47.4" customHeight="1" x14ac:dyDescent="0.5">
      <c r="B2" s="143" t="s">
        <v>194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2:15" ht="15" thickBot="1" x14ac:dyDescent="0.35"/>
    <row r="4" spans="2:15" ht="15" thickBot="1" x14ac:dyDescent="0.35">
      <c r="B4" s="94" t="s">
        <v>172</v>
      </c>
      <c r="C4" s="107">
        <v>1000000</v>
      </c>
    </row>
    <row r="5" spans="2:15" ht="15" thickBot="1" x14ac:dyDescent="0.35"/>
    <row r="6" spans="2:15" s="87" customFormat="1" ht="18" x14ac:dyDescent="0.35">
      <c r="B6" s="88" t="s">
        <v>169</v>
      </c>
      <c r="C6" s="93" t="s">
        <v>170</v>
      </c>
      <c r="D6" s="112" t="s">
        <v>171</v>
      </c>
      <c r="F6" s="88" t="s">
        <v>180</v>
      </c>
      <c r="G6" s="93" t="s">
        <v>181</v>
      </c>
      <c r="H6" s="112" t="s">
        <v>177</v>
      </c>
    </row>
    <row r="7" spans="2:15" x14ac:dyDescent="0.3">
      <c r="B7" s="89" t="s">
        <v>163</v>
      </c>
      <c r="C7" s="118">
        <v>0.3</v>
      </c>
      <c r="D7" s="90">
        <f>SUM(D19:D22)</f>
        <v>0.30000000000000004</v>
      </c>
      <c r="F7" s="113" t="s">
        <v>175</v>
      </c>
      <c r="G7" s="108">
        <f>SUM(E19:E22) + SUM(E26:E31) + SUM(E35:E37) + SUM(E41:E44) + SUM(E48:E51)+ SUM(E55:E58)</f>
        <v>1000000</v>
      </c>
      <c r="H7" s="90">
        <f>SUM(D7:D12)</f>
        <v>1</v>
      </c>
    </row>
    <row r="8" spans="2:15" ht="28.8" x14ac:dyDescent="0.3">
      <c r="B8" s="89" t="s">
        <v>64</v>
      </c>
      <c r="C8" s="118">
        <v>0.5</v>
      </c>
      <c r="D8" s="90">
        <f>SUM(D26:D31)</f>
        <v>0.5</v>
      </c>
      <c r="F8" s="121" t="s">
        <v>183</v>
      </c>
      <c r="G8" s="108">
        <f>SUM(G19:G22) + SUM(G26:G31) + SUM(G35:G37) + SUM(G41:G44) + SUM(G48:G51)+ SUM(G55:G58)</f>
        <v>900625.02241646801</v>
      </c>
      <c r="H8" s="116">
        <f>G8/C4</f>
        <v>0.90062502241646802</v>
      </c>
    </row>
    <row r="9" spans="2:15" x14ac:dyDescent="0.3">
      <c r="B9" s="89" t="s">
        <v>164</v>
      </c>
      <c r="C9" s="118">
        <v>0.05</v>
      </c>
      <c r="D9" s="90">
        <f>SUM(D35:D37)</f>
        <v>0.05</v>
      </c>
      <c r="F9" s="113" t="s">
        <v>182</v>
      </c>
      <c r="G9" s="108">
        <f>SUM(H19:H22) + SUM(H26:H31) + SUM(H35:H37) + SUM(H41:H44) + SUM(H48:H51)+ SUM(H55:H58)</f>
        <v>1022351.5461767088</v>
      </c>
      <c r="H9" s="116">
        <f>G9/C4</f>
        <v>1.0223515461767088</v>
      </c>
    </row>
    <row r="10" spans="2:15" ht="15" thickBot="1" x14ac:dyDescent="0.35">
      <c r="B10" s="89" t="s">
        <v>165</v>
      </c>
      <c r="C10" s="118">
        <v>0</v>
      </c>
      <c r="D10" s="90">
        <f>SUM(D48:D51)</f>
        <v>0</v>
      </c>
      <c r="F10" s="114" t="s">
        <v>45</v>
      </c>
      <c r="G10" s="111">
        <f>SUM(F19:F22) + SUM(F26:F31) + SUM(F35:F37) + SUM(F41:F44) + SUM(F48:F51)+ SUM(F55:F58)</f>
        <v>22635</v>
      </c>
      <c r="H10" s="115">
        <f>G10/C4</f>
        <v>2.2634999999999999E-2</v>
      </c>
    </row>
    <row r="11" spans="2:15" x14ac:dyDescent="0.3">
      <c r="B11" s="89" t="s">
        <v>166</v>
      </c>
      <c r="C11" s="118">
        <v>0.15</v>
      </c>
      <c r="D11" s="90">
        <f>SUM(D41:D44)</f>
        <v>0.15000000000000002</v>
      </c>
      <c r="F11" s="42"/>
      <c r="G11" s="110"/>
      <c r="H11" s="40"/>
    </row>
    <row r="12" spans="2:15" ht="15" thickBot="1" x14ac:dyDescent="0.35">
      <c r="B12" s="91" t="s">
        <v>167</v>
      </c>
      <c r="C12" s="119">
        <v>0</v>
      </c>
      <c r="D12" s="92">
        <f>SUM(D55:D58)</f>
        <v>0</v>
      </c>
    </row>
    <row r="17" spans="2:8" s="96" customFormat="1" ht="15.6" x14ac:dyDescent="0.3">
      <c r="B17" s="96" t="s">
        <v>163</v>
      </c>
      <c r="D17" s="106">
        <f>C7</f>
        <v>0.3</v>
      </c>
    </row>
    <row r="18" spans="2:8" s="97" customFormat="1" x14ac:dyDescent="0.3">
      <c r="B18" s="105" t="s">
        <v>11</v>
      </c>
      <c r="C18" s="105" t="s">
        <v>10</v>
      </c>
      <c r="D18" s="105" t="s">
        <v>177</v>
      </c>
      <c r="E18" s="105" t="s">
        <v>175</v>
      </c>
      <c r="F18" s="105" t="s">
        <v>45</v>
      </c>
      <c r="G18" s="105" t="s">
        <v>173</v>
      </c>
      <c r="H18" s="105" t="s">
        <v>174</v>
      </c>
    </row>
    <row r="19" spans="2:8" x14ac:dyDescent="0.3">
      <c r="B19" s="133" t="s">
        <v>197</v>
      </c>
      <c r="C19" s="134" t="s">
        <v>198</v>
      </c>
      <c r="D19" s="100">
        <v>0.05</v>
      </c>
      <c r="E19" s="136">
        <f>$C$4*D19</f>
        <v>50000</v>
      </c>
      <c r="F19" s="135">
        <f>0</f>
        <v>0</v>
      </c>
      <c r="G19" s="135">
        <f>E19</f>
        <v>50000</v>
      </c>
      <c r="H19" s="135">
        <f>E19</f>
        <v>50000</v>
      </c>
    </row>
    <row r="20" spans="2:8" x14ac:dyDescent="0.3">
      <c r="B20" s="1" t="str">
        <f>FSHBX_2</f>
        <v>Fidelity Short-Term Bond fund</v>
      </c>
      <c r="C20" s="98" t="str">
        <f>FSHBX_1</f>
        <v>FSHBX</v>
      </c>
      <c r="D20" s="100">
        <v>0.15</v>
      </c>
      <c r="E20" s="136">
        <f>$C$4*D20</f>
        <v>150000</v>
      </c>
      <c r="F20" s="109">
        <f>E20*(FSHBX_3)</f>
        <v>2400</v>
      </c>
      <c r="G20" s="136">
        <f>E20*(FSHBX_5/FSHBX_4)</f>
        <v>147766.32302405496</v>
      </c>
      <c r="H20" s="136">
        <f>E20*(FSHBX_6/FSHBX_4)</f>
        <v>150859.10652920962</v>
      </c>
    </row>
    <row r="21" spans="2:8" x14ac:dyDescent="0.3">
      <c r="B21" s="1" t="str">
        <f>PPEFX_2</f>
        <v>American Funds Preservation Portfolio Class F-2</v>
      </c>
      <c r="C21" s="98" t="s">
        <v>24</v>
      </c>
      <c r="D21" s="100">
        <v>0.1</v>
      </c>
      <c r="E21" s="136">
        <f>$C$4*D21</f>
        <v>100000</v>
      </c>
      <c r="F21" s="109">
        <f>E21*(FSHBX_3)</f>
        <v>1600</v>
      </c>
      <c r="G21" s="136">
        <f>E21*(PPEFX_5/PPEFX_4)</f>
        <v>100199.40179461618</v>
      </c>
      <c r="H21" s="136">
        <f>E21*(PPEFX_6/PPEFX_4)</f>
        <v>102691.92422731806</v>
      </c>
    </row>
    <row r="22" spans="2:8" x14ac:dyDescent="0.3">
      <c r="B22" s="1"/>
      <c r="C22" s="99"/>
      <c r="D22" s="100"/>
      <c r="E22" s="136"/>
      <c r="F22" s="109">
        <f>E22*(FSHBX_3)</f>
        <v>0</v>
      </c>
      <c r="G22" s="136"/>
      <c r="H22" s="136"/>
    </row>
    <row r="24" spans="2:8" s="96" customFormat="1" ht="15.6" x14ac:dyDescent="0.3">
      <c r="B24" s="96" t="s">
        <v>64</v>
      </c>
      <c r="D24" s="106">
        <f>C8</f>
        <v>0.5</v>
      </c>
    </row>
    <row r="25" spans="2:8" s="97" customFormat="1" x14ac:dyDescent="0.3">
      <c r="B25" s="105" t="s">
        <v>11</v>
      </c>
      <c r="C25" s="105" t="s">
        <v>10</v>
      </c>
      <c r="D25" s="105" t="s">
        <v>177</v>
      </c>
      <c r="E25" s="105" t="s">
        <v>175</v>
      </c>
      <c r="F25" s="105" t="s">
        <v>45</v>
      </c>
      <c r="G25" s="105" t="s">
        <v>173</v>
      </c>
      <c r="H25" s="105" t="s">
        <v>174</v>
      </c>
    </row>
    <row r="26" spans="2:8" x14ac:dyDescent="0.3">
      <c r="B26" s="1" t="str">
        <f>TOTL_2</f>
        <v>SPDR DoubleLine Total Return Tactical</v>
      </c>
      <c r="C26" s="98" t="s">
        <v>17</v>
      </c>
      <c r="D26" s="100">
        <v>0.1</v>
      </c>
      <c r="E26" s="136">
        <f>$C$4*D26</f>
        <v>100000</v>
      </c>
      <c r="F26" s="109">
        <f>E26*(TOTL_3)</f>
        <v>2360</v>
      </c>
      <c r="G26" s="136">
        <f>E26*(TOTL_5/TOTL_4)</f>
        <v>94322.085269751464</v>
      </c>
      <c r="H26" s="136">
        <f>E26*(TOTL_6/TOTL_4)</f>
        <v>99575.67185289957</v>
      </c>
    </row>
    <row r="27" spans="2:8" x14ac:dyDescent="0.3">
      <c r="B27" s="1" t="str">
        <f>VSCSX_2</f>
        <v>Vanguard Short-Term Corporate bond Index Fund Admiral Shares</v>
      </c>
      <c r="C27" s="98" t="s">
        <v>27</v>
      </c>
      <c r="D27" s="100">
        <v>0.15</v>
      </c>
      <c r="E27" s="136">
        <f>$C$4*D27</f>
        <v>150000</v>
      </c>
      <c r="F27" s="109">
        <f>E27*(VSCSX_3)</f>
        <v>3270</v>
      </c>
      <c r="G27" s="136">
        <f>E27*(VSCSX_5/VSCSX_4)</f>
        <v>143513.51351351352</v>
      </c>
      <c r="H27" s="136">
        <f>E27*(VSCSX_6/VSCSX_4)</f>
        <v>152837.83783783784</v>
      </c>
    </row>
    <row r="28" spans="2:8" x14ac:dyDescent="0.3">
      <c r="B28" s="1" t="str">
        <f>BNDW_2</f>
        <v>Vanguard Total World Bond ETF</v>
      </c>
      <c r="C28" s="98" t="s">
        <v>90</v>
      </c>
      <c r="D28" s="100">
        <v>0.15</v>
      </c>
      <c r="E28" s="136">
        <f>$C$4*D28</f>
        <v>150000</v>
      </c>
      <c r="F28" s="109">
        <f>E28*(BNDW_3)</f>
        <v>4095</v>
      </c>
      <c r="G28" s="136">
        <f>E28*(BNDW_5/BNDW_4)</f>
        <v>142733.17517792483</v>
      </c>
      <c r="H28" s="136">
        <f>E28*(BNDW_6/BNDW_4)</f>
        <v>153071.54451242351</v>
      </c>
    </row>
    <row r="29" spans="2:8" x14ac:dyDescent="0.3">
      <c r="B29" s="1" t="str">
        <f>USHY_2</f>
        <v>iShares Broad USD High Yield Corporate Bond ETF</v>
      </c>
      <c r="C29" s="98" t="s">
        <v>92</v>
      </c>
      <c r="D29" s="100">
        <v>0.1</v>
      </c>
      <c r="E29" s="136">
        <f>$C$4*D29</f>
        <v>100000</v>
      </c>
      <c r="F29" s="109">
        <f>E29*(USHY_3)</f>
        <v>5180</v>
      </c>
      <c r="G29" s="136">
        <f>E29*(USHY_5/USHY_4)</f>
        <v>82486.695694242866</v>
      </c>
      <c r="H29" s="136">
        <f>E29*(USHY_6/USHY_4)</f>
        <v>99903.241412675357</v>
      </c>
    </row>
    <row r="30" spans="2:8" x14ac:dyDescent="0.3">
      <c r="B30" s="1"/>
      <c r="C30" s="99"/>
      <c r="D30" s="99"/>
      <c r="E30" s="136"/>
      <c r="F30" s="109"/>
      <c r="G30" s="136"/>
      <c r="H30" s="136"/>
    </row>
    <row r="31" spans="2:8" x14ac:dyDescent="0.3">
      <c r="B31" s="1"/>
      <c r="C31" s="99"/>
      <c r="D31" s="99"/>
      <c r="E31" s="136"/>
      <c r="F31" s="109"/>
      <c r="G31" s="136"/>
      <c r="H31" s="136"/>
    </row>
    <row r="33" spans="2:8" s="96" customFormat="1" ht="15.6" x14ac:dyDescent="0.3">
      <c r="B33" s="96" t="s">
        <v>164</v>
      </c>
      <c r="D33" s="106">
        <f>C9</f>
        <v>0.05</v>
      </c>
    </row>
    <row r="34" spans="2:8" s="97" customFormat="1" x14ac:dyDescent="0.3">
      <c r="B34" s="105" t="s">
        <v>11</v>
      </c>
      <c r="C34" s="105" t="s">
        <v>10</v>
      </c>
      <c r="D34" s="105" t="s">
        <v>177</v>
      </c>
      <c r="E34" s="105" t="s">
        <v>175</v>
      </c>
      <c r="F34" s="105" t="s">
        <v>45</v>
      </c>
      <c r="G34" s="105" t="s">
        <v>173</v>
      </c>
      <c r="H34" s="105" t="s">
        <v>174</v>
      </c>
    </row>
    <row r="35" spans="2:8" x14ac:dyDescent="0.3">
      <c r="B35" s="1" t="str">
        <f>VXUS_2</f>
        <v>Vanguard Total International Stock Index Fund ETF Shares</v>
      </c>
      <c r="C35" s="98" t="s">
        <v>160</v>
      </c>
      <c r="D35" s="100">
        <v>0.05</v>
      </c>
      <c r="E35" s="136">
        <f>$C$4*D35</f>
        <v>50000</v>
      </c>
      <c r="F35" s="109">
        <f>E35*(VXUS_3)</f>
        <v>1025</v>
      </c>
      <c r="G35" s="136">
        <f>E35*(VXUS_5/VXUS_4)</f>
        <v>33752.260397830018</v>
      </c>
      <c r="H35" s="136">
        <f>E35*(VXUS_6/VXUS_4)</f>
        <v>57169.981916817356</v>
      </c>
    </row>
    <row r="36" spans="2:8" x14ac:dyDescent="0.3">
      <c r="B36" s="1"/>
      <c r="C36" s="99"/>
      <c r="D36" s="99"/>
      <c r="E36" s="136"/>
      <c r="F36" s="109"/>
      <c r="G36" s="136"/>
      <c r="H36" s="136"/>
    </row>
    <row r="37" spans="2:8" x14ac:dyDescent="0.3">
      <c r="B37" s="1"/>
      <c r="C37" s="99"/>
      <c r="D37" s="99"/>
      <c r="E37" s="136"/>
      <c r="F37" s="109"/>
      <c r="G37" s="136"/>
      <c r="H37" s="136"/>
    </row>
    <row r="39" spans="2:8" s="96" customFormat="1" ht="15.6" x14ac:dyDescent="0.3">
      <c r="B39" s="96" t="s">
        <v>178</v>
      </c>
      <c r="D39" s="106">
        <f>C11</f>
        <v>0.15</v>
      </c>
    </row>
    <row r="40" spans="2:8" s="97" customFormat="1" x14ac:dyDescent="0.3">
      <c r="B40" s="105" t="s">
        <v>11</v>
      </c>
      <c r="C40" s="105" t="s">
        <v>10</v>
      </c>
      <c r="D40" s="105" t="s">
        <v>177</v>
      </c>
      <c r="E40" s="105" t="s">
        <v>175</v>
      </c>
      <c r="F40" s="105" t="s">
        <v>45</v>
      </c>
      <c r="G40" s="105" t="s">
        <v>173</v>
      </c>
      <c r="H40" s="105" t="s">
        <v>174</v>
      </c>
    </row>
    <row r="41" spans="2:8" x14ac:dyDescent="0.3">
      <c r="B41" s="1" t="str">
        <f>VFMV_2</f>
        <v>Vanguard US Minimum Volatility ETF</v>
      </c>
      <c r="C41" s="98" t="s">
        <v>118</v>
      </c>
      <c r="D41" s="100">
        <v>0.1</v>
      </c>
      <c r="E41" s="136">
        <f>$C$4*D41</f>
        <v>100000</v>
      </c>
      <c r="F41" s="109">
        <f>E41*(VFMV_3)</f>
        <v>2010</v>
      </c>
      <c r="G41" s="136">
        <f>E41*(VFMV_5/VFMV_4)</f>
        <v>71231.715073139712</v>
      </c>
      <c r="H41" s="136">
        <f>E41*(VFMV_6/VFMV_4)</f>
        <v>97805.808776764883</v>
      </c>
    </row>
    <row r="42" spans="2:8" x14ac:dyDescent="0.3">
      <c r="B42" s="1" t="str">
        <f>VTI_2</f>
        <v>Vanguard Total Stock Market Index Fund ETF</v>
      </c>
      <c r="C42" s="98" t="s">
        <v>55</v>
      </c>
      <c r="D42" s="100">
        <v>0.05</v>
      </c>
      <c r="E42" s="136">
        <f>$C$4*D42</f>
        <v>50000</v>
      </c>
      <c r="F42" s="109">
        <f>E42*(VTI_3)</f>
        <v>695</v>
      </c>
      <c r="G42" s="136">
        <f>E42*(VTI_5/VTI_4)</f>
        <v>34619.852471394552</v>
      </c>
      <c r="H42" s="136">
        <f>E42*(VTI_6/VTI_4)</f>
        <v>58436.42911076262</v>
      </c>
    </row>
    <row r="43" spans="2:8" x14ac:dyDescent="0.3">
      <c r="B43" s="1"/>
      <c r="C43" s="99"/>
      <c r="D43" s="99"/>
      <c r="E43" s="136"/>
      <c r="F43" s="109"/>
      <c r="G43" s="136"/>
      <c r="H43" s="136"/>
    </row>
    <row r="44" spans="2:8" x14ac:dyDescent="0.3">
      <c r="B44" s="1"/>
      <c r="C44" s="99"/>
      <c r="D44" s="99"/>
      <c r="E44" s="136"/>
      <c r="F44" s="109"/>
      <c r="G44" s="136"/>
      <c r="H44" s="136"/>
    </row>
    <row r="46" spans="2:8" s="96" customFormat="1" ht="15.6" x14ac:dyDescent="0.3">
      <c r="B46" s="96" t="s">
        <v>179</v>
      </c>
      <c r="D46" s="106">
        <f>C10</f>
        <v>0</v>
      </c>
    </row>
    <row r="47" spans="2:8" s="97" customFormat="1" x14ac:dyDescent="0.3">
      <c r="B47" s="105" t="s">
        <v>11</v>
      </c>
      <c r="C47" s="105" t="s">
        <v>10</v>
      </c>
      <c r="D47" s="105" t="s">
        <v>177</v>
      </c>
      <c r="E47" s="105" t="s">
        <v>175</v>
      </c>
      <c r="F47" s="105" t="s">
        <v>45</v>
      </c>
      <c r="G47" s="105" t="s">
        <v>173</v>
      </c>
      <c r="H47" s="105" t="s">
        <v>174</v>
      </c>
    </row>
    <row r="48" spans="2:8" x14ac:dyDescent="0.3">
      <c r="B48" s="1"/>
      <c r="C48" s="98"/>
      <c r="D48" s="100"/>
      <c r="E48" s="136"/>
      <c r="F48" s="109"/>
      <c r="G48" s="136"/>
      <c r="H48" s="136"/>
    </row>
    <row r="49" spans="2:8" x14ac:dyDescent="0.3">
      <c r="B49" s="1"/>
      <c r="C49" s="98"/>
      <c r="D49" s="100"/>
      <c r="E49" s="136"/>
      <c r="F49" s="109"/>
      <c r="G49" s="136"/>
      <c r="H49" s="136"/>
    </row>
    <row r="50" spans="2:8" x14ac:dyDescent="0.3">
      <c r="B50" s="1"/>
      <c r="C50" s="99"/>
      <c r="D50" s="99"/>
      <c r="E50" s="136"/>
      <c r="F50" s="109"/>
      <c r="G50" s="136"/>
      <c r="H50" s="136"/>
    </row>
    <row r="51" spans="2:8" x14ac:dyDescent="0.3">
      <c r="B51" s="1"/>
      <c r="C51" s="99"/>
      <c r="D51" s="99"/>
      <c r="E51" s="136"/>
      <c r="F51" s="109"/>
      <c r="G51" s="136"/>
      <c r="H51" s="136"/>
    </row>
    <row r="53" spans="2:8" s="96" customFormat="1" ht="15.6" x14ac:dyDescent="0.3">
      <c r="B53" s="96" t="s">
        <v>167</v>
      </c>
      <c r="D53" s="106">
        <f>C12</f>
        <v>0</v>
      </c>
    </row>
    <row r="54" spans="2:8" s="97" customFormat="1" x14ac:dyDescent="0.3">
      <c r="B54" s="105" t="s">
        <v>11</v>
      </c>
      <c r="C54" s="105" t="s">
        <v>10</v>
      </c>
      <c r="D54" s="105" t="s">
        <v>177</v>
      </c>
      <c r="E54" s="105" t="s">
        <v>175</v>
      </c>
      <c r="F54" s="105" t="s">
        <v>45</v>
      </c>
      <c r="G54" s="105" t="s">
        <v>173</v>
      </c>
      <c r="H54" s="105" t="s">
        <v>174</v>
      </c>
    </row>
    <row r="55" spans="2:8" x14ac:dyDescent="0.3">
      <c r="B55" s="1"/>
      <c r="C55" s="98"/>
      <c r="D55" s="100"/>
      <c r="E55" s="136"/>
      <c r="F55" s="109"/>
      <c r="G55" s="136"/>
      <c r="H55" s="136"/>
    </row>
    <row r="56" spans="2:8" x14ac:dyDescent="0.3">
      <c r="B56" s="1"/>
      <c r="C56" s="98"/>
      <c r="D56" s="100"/>
      <c r="E56" s="136"/>
      <c r="F56" s="109"/>
      <c r="G56" s="136"/>
      <c r="H56" s="136"/>
    </row>
    <row r="57" spans="2:8" x14ac:dyDescent="0.3">
      <c r="B57" s="1"/>
      <c r="C57" s="99"/>
      <c r="D57" s="99"/>
      <c r="E57" s="136"/>
      <c r="F57" s="109"/>
      <c r="G57" s="136"/>
      <c r="H57" s="136"/>
    </row>
    <row r="58" spans="2:8" x14ac:dyDescent="0.3">
      <c r="B58" s="1"/>
      <c r="C58" s="99"/>
      <c r="D58" s="99"/>
      <c r="E58" s="136"/>
      <c r="F58" s="109"/>
      <c r="G58" s="136"/>
      <c r="H58" s="136"/>
    </row>
    <row r="62" spans="2:8" s="102" customFormat="1" ht="18" x14ac:dyDescent="0.35">
      <c r="D62" s="101"/>
      <c r="E62" s="104"/>
      <c r="F62" s="104"/>
      <c r="G62" s="104"/>
      <c r="H62" s="104"/>
    </row>
    <row r="63" spans="2:8" x14ac:dyDescent="0.3">
      <c r="F63" s="103"/>
      <c r="G63" s="103"/>
      <c r="H63" s="103"/>
    </row>
  </sheetData>
  <mergeCells count="1">
    <mergeCell ref="B2:O2"/>
  </mergeCells>
  <pageMargins left="0.25" right="0.25" top="0.75" bottom="0.75" header="0.3" footer="0.3"/>
  <pageSetup scale="5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61"/>
  <sheetViews>
    <sheetView zoomScale="115" zoomScaleNormal="115" workbookViewId="0">
      <selection activeCell="G8" sqref="G8"/>
    </sheetView>
  </sheetViews>
  <sheetFormatPr defaultRowHeight="14.4" x14ac:dyDescent="0.3"/>
  <cols>
    <col min="2" max="2" width="20.21875" customWidth="1"/>
    <col min="3" max="3" width="7.6640625" bestFit="1" customWidth="1"/>
    <col min="4" max="4" width="7.5546875" bestFit="1" customWidth="1"/>
    <col min="5" max="5" width="8.77734375" bestFit="1" customWidth="1"/>
    <col min="6" max="6" width="8.109375" bestFit="1" customWidth="1"/>
    <col min="7" max="7" width="10.5546875" bestFit="1" customWidth="1"/>
    <col min="8" max="8" width="9.21875" bestFit="1" customWidth="1"/>
  </cols>
  <sheetData>
    <row r="2" spans="1:15" ht="51" customHeight="1" x14ac:dyDescent="0.5">
      <c r="A2" s="117"/>
      <c r="B2" s="143" t="s">
        <v>195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5" thickBot="1" x14ac:dyDescent="0.35"/>
    <row r="4" spans="1:15" ht="15" thickBot="1" x14ac:dyDescent="0.35">
      <c r="B4" s="94" t="s">
        <v>172</v>
      </c>
      <c r="C4" s="107">
        <v>1000000</v>
      </c>
    </row>
    <row r="5" spans="1:15" ht="15" thickBot="1" x14ac:dyDescent="0.35"/>
    <row r="6" spans="1:15" ht="18" x14ac:dyDescent="0.35">
      <c r="A6" s="87"/>
      <c r="B6" s="88" t="s">
        <v>169</v>
      </c>
      <c r="C6" s="93" t="s">
        <v>170</v>
      </c>
      <c r="D6" s="112" t="s">
        <v>171</v>
      </c>
      <c r="E6" s="87"/>
      <c r="F6" s="88" t="s">
        <v>180</v>
      </c>
      <c r="G6" s="93" t="s">
        <v>181</v>
      </c>
      <c r="H6" s="112" t="s">
        <v>177</v>
      </c>
      <c r="I6" s="87"/>
      <c r="J6" s="87"/>
      <c r="K6" s="87"/>
      <c r="L6" s="87"/>
      <c r="M6" s="87"/>
      <c r="N6" s="87"/>
      <c r="O6" s="87"/>
    </row>
    <row r="7" spans="1:15" x14ac:dyDescent="0.3">
      <c r="B7" s="89" t="s">
        <v>163</v>
      </c>
      <c r="C7" s="118">
        <v>0.05</v>
      </c>
      <c r="D7" s="90">
        <f>SUM(D19:D22)</f>
        <v>0.05</v>
      </c>
      <c r="F7" s="113" t="s">
        <v>175</v>
      </c>
      <c r="G7" s="108">
        <f>SUM(E19:E22) + SUM(E26:E32) + SUM(E36:E39) + SUM(E43:E47) + SUM(E51:E54)+ SUM(E58:E61)</f>
        <v>1000000</v>
      </c>
      <c r="H7" s="90">
        <f>SUM(D7:D12)</f>
        <v>1</v>
      </c>
    </row>
    <row r="8" spans="1:15" ht="28.8" x14ac:dyDescent="0.3">
      <c r="B8" s="89" t="s">
        <v>64</v>
      </c>
      <c r="C8" s="118">
        <v>0.35</v>
      </c>
      <c r="D8" s="90">
        <f>SUM(D26:D32)</f>
        <v>0.35000000000000009</v>
      </c>
      <c r="F8" s="121" t="s">
        <v>183</v>
      </c>
      <c r="G8" s="108">
        <f>SUM(G19:G22) + SUM(G26:G32) + SUM(G36:G39) + SUM(G43:G47) + SUM(G51:G54)+ SUM(G58:G61)</f>
        <v>746098.33484559809</v>
      </c>
      <c r="H8" s="116">
        <f>G8/C4</f>
        <v>0.74609833484559807</v>
      </c>
    </row>
    <row r="9" spans="1:15" x14ac:dyDescent="0.3">
      <c r="B9" s="89" t="s">
        <v>164</v>
      </c>
      <c r="C9" s="118">
        <v>0.15</v>
      </c>
      <c r="D9" s="90">
        <f>SUM(D36:D39)</f>
        <v>0.15000000000000002</v>
      </c>
      <c r="F9" s="113" t="s">
        <v>182</v>
      </c>
      <c r="G9" s="108">
        <f>SUM(H19:H22) + SUM(H26:H32) + SUM(H36:H39) + SUM(H43:H47) + SUM(H51:H54)+ SUM(H58:H61)</f>
        <v>1038236.6084192914</v>
      </c>
      <c r="H9" s="116">
        <f>G9/C4</f>
        <v>1.0382366084192916</v>
      </c>
    </row>
    <row r="10" spans="1:15" ht="15" thickBot="1" x14ac:dyDescent="0.35">
      <c r="B10" s="89" t="s">
        <v>165</v>
      </c>
      <c r="C10" s="118">
        <v>0.1</v>
      </c>
      <c r="D10" s="90">
        <f>SUM(D51:D54)</f>
        <v>0.1</v>
      </c>
      <c r="F10" s="114" t="s">
        <v>45</v>
      </c>
      <c r="G10" s="111">
        <f>SUM(F19:F22) + SUM(F26:F32) + SUM(F36:F39) + SUM(F43:F47) + SUM(F51:F54)+ SUM(F58:F61)</f>
        <v>26639</v>
      </c>
      <c r="H10" s="115">
        <f>G10/C4</f>
        <v>2.6638999999999999E-2</v>
      </c>
    </row>
    <row r="11" spans="1:15" x14ac:dyDescent="0.3">
      <c r="B11" s="89" t="s">
        <v>166</v>
      </c>
      <c r="C11" s="118">
        <v>0.35</v>
      </c>
      <c r="D11" s="90">
        <f>SUM(D43:D47)</f>
        <v>0.35</v>
      </c>
      <c r="F11" s="42"/>
      <c r="G11" s="110"/>
      <c r="H11" s="40"/>
    </row>
    <row r="12" spans="1:15" ht="15" thickBot="1" x14ac:dyDescent="0.35">
      <c r="B12" s="91" t="s">
        <v>167</v>
      </c>
      <c r="C12" s="119">
        <v>0</v>
      </c>
      <c r="D12" s="92">
        <f>SUM(D58:D61)</f>
        <v>0</v>
      </c>
    </row>
    <row r="17" spans="1:15" ht="15.6" x14ac:dyDescent="0.3">
      <c r="A17" s="96"/>
      <c r="B17" s="96" t="s">
        <v>163</v>
      </c>
      <c r="C17" s="96"/>
      <c r="D17" s="106">
        <f>C7</f>
        <v>0.05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1:15" x14ac:dyDescent="0.3">
      <c r="A18" s="97"/>
      <c r="B18" s="105" t="s">
        <v>11</v>
      </c>
      <c r="C18" s="105" t="s">
        <v>10</v>
      </c>
      <c r="D18" s="105" t="s">
        <v>177</v>
      </c>
      <c r="E18" s="105" t="s">
        <v>175</v>
      </c>
      <c r="F18" s="105" t="s">
        <v>45</v>
      </c>
      <c r="G18" s="105" t="s">
        <v>173</v>
      </c>
      <c r="H18" s="105" t="s">
        <v>174</v>
      </c>
      <c r="I18" s="97"/>
      <c r="J18" s="97"/>
      <c r="K18" s="97"/>
      <c r="L18" s="97"/>
      <c r="M18" s="97"/>
      <c r="N18" s="97"/>
      <c r="O18" s="97"/>
    </row>
    <row r="19" spans="1:15" x14ac:dyDescent="0.3">
      <c r="B19" s="133" t="s">
        <v>197</v>
      </c>
      <c r="C19" s="134" t="s">
        <v>198</v>
      </c>
      <c r="D19" s="100">
        <v>0.01</v>
      </c>
      <c r="E19" s="136">
        <f>$C$4*D19</f>
        <v>10000</v>
      </c>
      <c r="F19" s="135">
        <f>0</f>
        <v>0</v>
      </c>
      <c r="G19" s="135">
        <f>E19</f>
        <v>10000</v>
      </c>
      <c r="H19" s="135">
        <f>E19</f>
        <v>10000</v>
      </c>
    </row>
    <row r="20" spans="1:15" x14ac:dyDescent="0.3">
      <c r="B20" s="1" t="str">
        <f>FSHBX_2</f>
        <v>Fidelity Short-Term Bond fund</v>
      </c>
      <c r="C20" s="98" t="str">
        <f>FSHBX_1</f>
        <v>FSHBX</v>
      </c>
      <c r="D20" s="100">
        <v>0.02</v>
      </c>
      <c r="E20" s="136">
        <f>$C$4*D20</f>
        <v>20000</v>
      </c>
      <c r="F20" s="109">
        <f>E20*(FSHBX_3)</f>
        <v>320</v>
      </c>
      <c r="G20" s="136">
        <f>E20*(FSHBX_5/FSHBX_4)</f>
        <v>19702.17640320733</v>
      </c>
      <c r="H20" s="136">
        <f>E20*(FSHBX_6/FSHBX_4)</f>
        <v>20114.547537227951</v>
      </c>
    </row>
    <row r="21" spans="1:15" x14ac:dyDescent="0.3">
      <c r="B21" s="1" t="str">
        <f>PPEFX_2</f>
        <v>American Funds Preservation Portfolio Class F-2</v>
      </c>
      <c r="C21" s="98" t="s">
        <v>24</v>
      </c>
      <c r="D21" s="100">
        <v>0.02</v>
      </c>
      <c r="E21" s="136">
        <f>$C$4*D21</f>
        <v>20000</v>
      </c>
      <c r="F21" s="109">
        <f>E21*(FSHBX_3)</f>
        <v>320</v>
      </c>
      <c r="G21" s="136">
        <f>E21*(PPEFX_5/PPEFX_4)</f>
        <v>20039.880358923234</v>
      </c>
      <c r="H21" s="136">
        <f>E21*(PPEFX_6/PPEFX_4)</f>
        <v>20538.38484546361</v>
      </c>
    </row>
    <row r="22" spans="1:15" x14ac:dyDescent="0.3">
      <c r="B22" s="1"/>
      <c r="C22" s="99"/>
      <c r="D22" s="100"/>
      <c r="E22" s="136"/>
      <c r="F22" s="109">
        <f>E22*(FSHBX_3)</f>
        <v>0</v>
      </c>
      <c r="G22" s="136"/>
      <c r="H22" s="136"/>
    </row>
    <row r="24" spans="1:15" ht="15.6" x14ac:dyDescent="0.3">
      <c r="A24" s="96"/>
      <c r="B24" s="96" t="s">
        <v>64</v>
      </c>
      <c r="C24" s="96"/>
      <c r="D24" s="106">
        <f>C8</f>
        <v>0.35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x14ac:dyDescent="0.3">
      <c r="A25" s="97"/>
      <c r="B25" s="105" t="s">
        <v>11</v>
      </c>
      <c r="C25" s="105" t="s">
        <v>10</v>
      </c>
      <c r="D25" s="105" t="s">
        <v>177</v>
      </c>
      <c r="E25" s="105" t="s">
        <v>175</v>
      </c>
      <c r="F25" s="105" t="s">
        <v>45</v>
      </c>
      <c r="G25" s="105" t="s">
        <v>173</v>
      </c>
      <c r="H25" s="105" t="s">
        <v>174</v>
      </c>
      <c r="I25" s="97"/>
      <c r="J25" s="97"/>
      <c r="K25" s="97"/>
      <c r="L25" s="97"/>
      <c r="M25" s="97"/>
      <c r="N25" s="97"/>
      <c r="O25" s="97"/>
    </row>
    <row r="26" spans="1:15" x14ac:dyDescent="0.3">
      <c r="B26" s="1" t="str">
        <f>TOTL_2</f>
        <v>SPDR DoubleLine Total Return Tactical</v>
      </c>
      <c r="C26" s="98" t="s">
        <v>17</v>
      </c>
      <c r="D26" s="100">
        <v>0.1</v>
      </c>
      <c r="E26" s="136">
        <f>$C$4*D26</f>
        <v>100000</v>
      </c>
      <c r="F26" s="109">
        <f>E26*(TOTL_3)</f>
        <v>2360</v>
      </c>
      <c r="G26" s="136">
        <f>E26*(TOTL_5/TOTL_4)</f>
        <v>94322.085269751464</v>
      </c>
      <c r="H26" s="136">
        <f>E26*(TOTL_6/TOTL_4)</f>
        <v>99575.67185289957</v>
      </c>
    </row>
    <row r="27" spans="1:15" x14ac:dyDescent="0.3">
      <c r="B27" s="1" t="str">
        <f>BNDW_2</f>
        <v>Vanguard Total World Bond ETF</v>
      </c>
      <c r="C27" s="98" t="s">
        <v>90</v>
      </c>
      <c r="D27" s="100">
        <v>0.1</v>
      </c>
      <c r="E27" s="136">
        <f>$C$4*D27</f>
        <v>100000</v>
      </c>
      <c r="F27" s="109">
        <f>E27*(BNDW_3)</f>
        <v>2730</v>
      </c>
      <c r="G27" s="136">
        <f>E27*(BNDW_5/BNDW_4)</f>
        <v>95155.450118616543</v>
      </c>
      <c r="H27" s="136">
        <f>E27*(BNDW_6/BNDW_4)</f>
        <v>102047.69634161568</v>
      </c>
    </row>
    <row r="28" spans="1:15" x14ac:dyDescent="0.3">
      <c r="B28" s="1" t="str">
        <f>AWF_2</f>
        <v>AllianceBernstein Global High Incomd Fund Inc.</v>
      </c>
      <c r="C28" s="98" t="s">
        <v>98</v>
      </c>
      <c r="D28" s="100">
        <v>0.1</v>
      </c>
      <c r="E28" s="136">
        <f>$C$4*D28</f>
        <v>100000</v>
      </c>
      <c r="F28" s="109">
        <f>E28*(AWF_3)</f>
        <v>5740</v>
      </c>
      <c r="G28" s="136">
        <f>E28*(AWF_5/AWF_4)</f>
        <v>63570.856685348277</v>
      </c>
      <c r="H28" s="136">
        <f>E28*(AWF_6/AWF_4)</f>
        <v>93835.06805444356</v>
      </c>
    </row>
    <row r="29" spans="1:15" x14ac:dyDescent="0.3">
      <c r="B29" s="1" t="str">
        <f>VNQ_2</f>
        <v>Vanguard REIT Index Fund ETF Shares</v>
      </c>
      <c r="C29" s="98" t="s">
        <v>31</v>
      </c>
      <c r="D29" s="100">
        <v>0.03</v>
      </c>
      <c r="E29" s="136">
        <f>$C$4*D29</f>
        <v>30000</v>
      </c>
      <c r="F29" s="109">
        <f>E29*(VNQ_3)</f>
        <v>1143</v>
      </c>
      <c r="G29" s="136">
        <f>E29*(VNQ_5/VNQ_4)</f>
        <v>18880.844645550529</v>
      </c>
      <c r="H29" s="136">
        <f>E29*(VNQ_6/VNQ_4)</f>
        <v>25812.971342383105</v>
      </c>
    </row>
    <row r="30" spans="1:15" x14ac:dyDescent="0.3">
      <c r="B30" s="1" t="str">
        <f>DEA_2</f>
        <v>Easterly Government Properties Inc</v>
      </c>
      <c r="C30" s="99" t="s">
        <v>40</v>
      </c>
      <c r="D30" s="100">
        <v>0.02</v>
      </c>
      <c r="E30" s="136">
        <f>$C$4*D30</f>
        <v>20000</v>
      </c>
      <c r="F30" s="109">
        <f>E30*(DEA_3)</f>
        <v>908.00000000000011</v>
      </c>
      <c r="G30" s="136">
        <f>E30*(DEA_5/DEA_4)</f>
        <v>18709.932726553227</v>
      </c>
      <c r="H30" s="136">
        <f>E30*(DEA_6/DEA_4)</f>
        <v>18306.292045904233</v>
      </c>
    </row>
    <row r="31" spans="1:15" x14ac:dyDescent="0.3">
      <c r="B31" s="1"/>
      <c r="C31" s="99"/>
      <c r="D31" s="100"/>
      <c r="E31" s="136"/>
      <c r="F31" s="109"/>
      <c r="G31" s="136"/>
      <c r="H31" s="136"/>
    </row>
    <row r="32" spans="1:15" x14ac:dyDescent="0.3">
      <c r="B32" s="1"/>
      <c r="C32" s="99"/>
      <c r="D32" s="100"/>
      <c r="E32" s="136"/>
      <c r="F32" s="109"/>
      <c r="G32" s="136"/>
      <c r="H32" s="136"/>
    </row>
    <row r="34" spans="1:15" ht="15.6" x14ac:dyDescent="0.3">
      <c r="A34" s="96"/>
      <c r="B34" s="96" t="s">
        <v>164</v>
      </c>
      <c r="C34" s="96"/>
      <c r="D34" s="106">
        <f>C9</f>
        <v>0.15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x14ac:dyDescent="0.3">
      <c r="A35" s="97"/>
      <c r="B35" s="105" t="s">
        <v>11</v>
      </c>
      <c r="C35" s="105" t="s">
        <v>10</v>
      </c>
      <c r="D35" s="105" t="s">
        <v>177</v>
      </c>
      <c r="E35" s="105" t="s">
        <v>175</v>
      </c>
      <c r="F35" s="105" t="s">
        <v>45</v>
      </c>
      <c r="G35" s="105" t="s">
        <v>173</v>
      </c>
      <c r="H35" s="105" t="s">
        <v>174</v>
      </c>
      <c r="I35" s="97"/>
      <c r="J35" s="97"/>
      <c r="K35" s="97"/>
      <c r="L35" s="97"/>
      <c r="M35" s="97"/>
      <c r="N35" s="97"/>
      <c r="O35" s="97"/>
    </row>
    <row r="36" spans="1:15" x14ac:dyDescent="0.3">
      <c r="B36" s="1" t="str">
        <f>VXUS_2</f>
        <v>Vanguard Total International Stock Index Fund ETF Shares</v>
      </c>
      <c r="C36" s="98" t="s">
        <v>160</v>
      </c>
      <c r="D36" s="100">
        <v>0.1</v>
      </c>
      <c r="E36" s="136">
        <f>$C$4*D36</f>
        <v>100000</v>
      </c>
      <c r="F36" s="109">
        <f>E36*(VXUS_3)</f>
        <v>2050</v>
      </c>
      <c r="G36" s="136">
        <f>E36*(VXUS_5/VXUS_4)</f>
        <v>67504.520795660035</v>
      </c>
      <c r="H36" s="136">
        <f>E36*(VXUS_6/VXUS_4)</f>
        <v>114339.96383363471</v>
      </c>
    </row>
    <row r="37" spans="1:15" x14ac:dyDescent="0.3">
      <c r="B37" s="1" t="str">
        <f>VT_2</f>
        <v>Vanguard Total World Stock ETF</v>
      </c>
      <c r="C37" s="98" t="s">
        <v>20</v>
      </c>
      <c r="D37" s="100">
        <v>0.05</v>
      </c>
      <c r="E37" s="136">
        <f>$C$4*D37</f>
        <v>50000</v>
      </c>
      <c r="F37" s="109">
        <f>E37*(VT_3)</f>
        <v>790.00000000000011</v>
      </c>
      <c r="G37" s="136">
        <f>E37*(VT_5/VT_4)</f>
        <v>34357.306348632694</v>
      </c>
      <c r="H37" s="136">
        <f>E37*(VT_6/VT_4)</f>
        <v>57993.012890013255</v>
      </c>
    </row>
    <row r="38" spans="1:15" x14ac:dyDescent="0.3">
      <c r="B38" s="1"/>
      <c r="C38" s="99"/>
      <c r="D38" s="100"/>
      <c r="E38" s="136"/>
      <c r="F38" s="109"/>
      <c r="G38" s="136"/>
      <c r="H38" s="136"/>
    </row>
    <row r="39" spans="1:15" x14ac:dyDescent="0.3">
      <c r="B39" s="1"/>
      <c r="C39" s="99"/>
      <c r="D39" s="100"/>
      <c r="E39" s="136"/>
      <c r="F39" s="109"/>
      <c r="G39" s="136"/>
      <c r="H39" s="136"/>
    </row>
    <row r="41" spans="1:15" ht="15.6" x14ac:dyDescent="0.3">
      <c r="A41" s="96"/>
      <c r="B41" s="96" t="s">
        <v>178</v>
      </c>
      <c r="C41" s="96"/>
      <c r="D41" s="106">
        <f>C11</f>
        <v>0.35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1:15" x14ac:dyDescent="0.3">
      <c r="A42" s="120"/>
      <c r="B42" s="105" t="s">
        <v>11</v>
      </c>
      <c r="C42" s="105" t="s">
        <v>10</v>
      </c>
      <c r="D42" s="105" t="s">
        <v>177</v>
      </c>
      <c r="E42" s="105" t="s">
        <v>175</v>
      </c>
      <c r="F42" s="105" t="s">
        <v>45</v>
      </c>
      <c r="G42" s="105" t="s">
        <v>173</v>
      </c>
      <c r="H42" s="105" t="s">
        <v>174</v>
      </c>
      <c r="I42" s="97"/>
      <c r="J42" s="97"/>
      <c r="K42" s="97"/>
      <c r="L42" s="97"/>
      <c r="M42" s="97"/>
      <c r="N42" s="97"/>
      <c r="O42" s="97"/>
    </row>
    <row r="43" spans="1:15" x14ac:dyDescent="0.3">
      <c r="B43" s="1" t="str">
        <f>VFMV_2</f>
        <v>Vanguard US Minimum Volatility ETF</v>
      </c>
      <c r="C43" s="98" t="s">
        <v>118</v>
      </c>
      <c r="D43" s="100">
        <v>0.15</v>
      </c>
      <c r="E43" s="136">
        <f>$C$4*D43</f>
        <v>150000</v>
      </c>
      <c r="F43" s="109">
        <f>E43*(VFMV_3)</f>
        <v>3015</v>
      </c>
      <c r="G43" s="136">
        <f>E43*(VFMV_5/VFMV_4)</f>
        <v>106847.57260970956</v>
      </c>
      <c r="H43" s="136">
        <f>E43*(VFMV_6/VFMV_4)</f>
        <v>146708.71316514732</v>
      </c>
    </row>
    <row r="44" spans="1:15" x14ac:dyDescent="0.3">
      <c r="B44" s="1" t="str">
        <f>VTI_2</f>
        <v>Vanguard Total Stock Market Index Fund ETF</v>
      </c>
      <c r="C44" s="98" t="s">
        <v>55</v>
      </c>
      <c r="D44" s="100">
        <v>0.1</v>
      </c>
      <c r="E44" s="136">
        <f>$C$4*D44</f>
        <v>100000</v>
      </c>
      <c r="F44" s="109">
        <f>E44*(VTI_3)</f>
        <v>1390</v>
      </c>
      <c r="G44" s="136">
        <f>E44*(VTI_5/VTI_4)</f>
        <v>69239.704942789103</v>
      </c>
      <c r="H44" s="136">
        <f>E44*(VTI_6/VTI_4)</f>
        <v>116872.85822152524</v>
      </c>
    </row>
    <row r="45" spans="1:15" x14ac:dyDescent="0.3">
      <c r="B45" s="1" t="str">
        <f>PFF_2</f>
        <v>iShares Preferred and Income Securities ETF</v>
      </c>
      <c r="C45" s="98" t="s">
        <v>159</v>
      </c>
      <c r="D45" s="100">
        <v>0.05</v>
      </c>
      <c r="E45" s="136">
        <f>$C$4*D45</f>
        <v>50000</v>
      </c>
      <c r="F45" s="109">
        <f>E45*(PFF_3)</f>
        <v>2170</v>
      </c>
      <c r="G45" s="136">
        <f>E45*(PFF_5/PFF_4)</f>
        <v>32991.857105332281</v>
      </c>
      <c r="H45" s="136">
        <f>E45*(PFF_6/PFF_4)</f>
        <v>50315.208825847127</v>
      </c>
    </row>
    <row r="46" spans="1:15" x14ac:dyDescent="0.3">
      <c r="B46" s="1" t="str">
        <f>PFFD_2</f>
        <v>Global X US Preferred ETF</v>
      </c>
      <c r="C46" s="99" t="s">
        <v>57</v>
      </c>
      <c r="D46" s="100">
        <v>0.05</v>
      </c>
      <c r="E46" s="136">
        <f>$C$4*D46</f>
        <v>50000</v>
      </c>
      <c r="F46" s="109">
        <f>E46*(PFFD_3)</f>
        <v>2265</v>
      </c>
      <c r="G46" s="136">
        <f>E46*(PFFD_5/PFFD_4)</f>
        <v>34564.021995286726</v>
      </c>
      <c r="H46" s="136">
        <f>E46*(PFFD_6/PFFD_4)</f>
        <v>50392.772977219167</v>
      </c>
    </row>
    <row r="47" spans="1:15" x14ac:dyDescent="0.3">
      <c r="B47" s="1"/>
      <c r="C47" s="99"/>
      <c r="D47" s="100"/>
      <c r="E47" s="136"/>
      <c r="F47" s="109"/>
      <c r="G47" s="136"/>
      <c r="H47" s="136"/>
    </row>
    <row r="49" spans="1:15" ht="15.6" x14ac:dyDescent="0.3">
      <c r="A49" s="96"/>
      <c r="B49" s="96" t="s">
        <v>179</v>
      </c>
      <c r="C49" s="96"/>
      <c r="D49" s="106">
        <f>C10</f>
        <v>0.1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1:15" x14ac:dyDescent="0.3">
      <c r="A50" s="97"/>
      <c r="B50" s="105" t="s">
        <v>11</v>
      </c>
      <c r="C50" s="105" t="s">
        <v>10</v>
      </c>
      <c r="D50" s="105" t="s">
        <v>177</v>
      </c>
      <c r="E50" s="105" t="s">
        <v>175</v>
      </c>
      <c r="F50" s="105" t="s">
        <v>45</v>
      </c>
      <c r="G50" s="105" t="s">
        <v>173</v>
      </c>
      <c r="H50" s="105" t="s">
        <v>174</v>
      </c>
      <c r="I50" s="97"/>
      <c r="J50" s="97"/>
      <c r="K50" s="97"/>
      <c r="L50" s="97"/>
      <c r="M50" s="97"/>
      <c r="N50" s="97"/>
      <c r="O50" s="97"/>
    </row>
    <row r="51" spans="1:15" x14ac:dyDescent="0.3">
      <c r="B51" s="1" t="str">
        <f>VTWO_2</f>
        <v>Vanguard Russell 2000 Index Fund ETF</v>
      </c>
      <c r="C51" s="98" t="s">
        <v>52</v>
      </c>
      <c r="D51" s="100">
        <v>0.05</v>
      </c>
      <c r="E51" s="136">
        <f>$C$4*D51</f>
        <v>50000</v>
      </c>
      <c r="F51" s="109">
        <f>E51*(VTWO_3)</f>
        <v>410.00000000000006</v>
      </c>
      <c r="G51" s="136">
        <f>E51*(VTWO_5/VTWO_4)</f>
        <v>29634.281492427039</v>
      </c>
      <c r="H51" s="136">
        <f>E51*(VTWO_6/VTWO_4)</f>
        <v>63387.513852973774</v>
      </c>
    </row>
    <row r="52" spans="1:15" x14ac:dyDescent="0.3">
      <c r="B52" s="1" t="str">
        <f>XSLV_2</f>
        <v>Invesco S&amp;P SmallCap Low Volatility ETF</v>
      </c>
      <c r="C52" s="98" t="s">
        <v>18</v>
      </c>
      <c r="D52" s="100">
        <v>0.03</v>
      </c>
      <c r="E52" s="136">
        <f>$C$4*D52</f>
        <v>30000</v>
      </c>
      <c r="F52" s="109">
        <f>E52*(XSLV_3)</f>
        <v>672</v>
      </c>
      <c r="G52" s="136">
        <f>E52*(XSLV_5/XSLV_4)</f>
        <v>17928.473715067419</v>
      </c>
      <c r="H52" s="136">
        <f>E52*(XSLV_6/XSLV_4)</f>
        <v>25004.885675200308</v>
      </c>
    </row>
    <row r="53" spans="1:15" x14ac:dyDescent="0.3">
      <c r="B53" s="1" t="str">
        <f>VSS_2</f>
        <v>Vanguard FTSE All-World EX-US Small-Cap Index ETF</v>
      </c>
      <c r="C53" s="99" t="s">
        <v>116</v>
      </c>
      <c r="D53" s="100">
        <v>0.02</v>
      </c>
      <c r="E53" s="136">
        <f>$C$4*D53</f>
        <v>20000</v>
      </c>
      <c r="F53" s="109">
        <f>E53*(VSS_3)</f>
        <v>356</v>
      </c>
      <c r="G53" s="136">
        <f>E53*(VSS_5/VSS_4)</f>
        <v>12649.369632742555</v>
      </c>
      <c r="H53" s="136">
        <f>E53*(VSS_6/VSS_4)</f>
        <v>22991.046957792802</v>
      </c>
    </row>
    <row r="54" spans="1:15" x14ac:dyDescent="0.3">
      <c r="B54" s="1"/>
      <c r="C54" s="99"/>
      <c r="D54" s="100"/>
      <c r="E54" s="136"/>
      <c r="F54" s="109"/>
      <c r="G54" s="136"/>
      <c r="H54" s="136"/>
    </row>
    <row r="56" spans="1:15" ht="15.6" x14ac:dyDescent="0.3">
      <c r="A56" s="96"/>
      <c r="B56" s="96" t="s">
        <v>167</v>
      </c>
      <c r="C56" s="96"/>
      <c r="D56" s="106">
        <f>C12</f>
        <v>0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1:15" x14ac:dyDescent="0.3">
      <c r="A57" s="97"/>
      <c r="B57" s="105" t="s">
        <v>11</v>
      </c>
      <c r="C57" s="105" t="s">
        <v>10</v>
      </c>
      <c r="D57" s="105" t="s">
        <v>177</v>
      </c>
      <c r="E57" s="105" t="s">
        <v>175</v>
      </c>
      <c r="F57" s="105" t="s">
        <v>45</v>
      </c>
      <c r="G57" s="105" t="s">
        <v>173</v>
      </c>
      <c r="H57" s="105" t="s">
        <v>174</v>
      </c>
      <c r="I57" s="97"/>
      <c r="J57" s="97"/>
      <c r="K57" s="97"/>
      <c r="L57" s="97"/>
      <c r="M57" s="97"/>
      <c r="N57" s="97"/>
      <c r="O57" s="97"/>
    </row>
    <row r="58" spans="1:15" x14ac:dyDescent="0.3">
      <c r="B58" s="1"/>
      <c r="C58" s="98"/>
      <c r="D58" s="100"/>
      <c r="E58" s="136"/>
      <c r="F58" s="109"/>
      <c r="G58" s="136"/>
      <c r="H58" s="136"/>
    </row>
    <row r="59" spans="1:15" x14ac:dyDescent="0.3">
      <c r="B59" s="1"/>
      <c r="C59" s="98"/>
      <c r="D59" s="100"/>
      <c r="E59" s="136"/>
      <c r="F59" s="109"/>
      <c r="G59" s="136"/>
      <c r="H59" s="136"/>
    </row>
    <row r="60" spans="1:15" x14ac:dyDescent="0.3">
      <c r="B60" s="1"/>
      <c r="C60" s="99"/>
      <c r="D60" s="100"/>
      <c r="E60" s="136"/>
      <c r="F60" s="109"/>
      <c r="G60" s="136"/>
      <c r="H60" s="136"/>
    </row>
    <row r="61" spans="1:15" x14ac:dyDescent="0.3">
      <c r="B61" s="1"/>
      <c r="C61" s="99"/>
      <c r="D61" s="100"/>
      <c r="E61" s="136"/>
      <c r="F61" s="109"/>
      <c r="G61" s="136"/>
      <c r="H61" s="136"/>
    </row>
  </sheetData>
  <mergeCells count="1">
    <mergeCell ref="B2:O2"/>
  </mergeCells>
  <pageMargins left="0.25" right="0.25" top="0.75" bottom="0.75" header="0.3" footer="0.3"/>
  <pageSetup scale="73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59"/>
  <sheetViews>
    <sheetView zoomScale="115" zoomScaleNormal="115" workbookViewId="0">
      <selection activeCell="G9" sqref="G9"/>
    </sheetView>
  </sheetViews>
  <sheetFormatPr defaultRowHeight="14.4" x14ac:dyDescent="0.3"/>
  <cols>
    <col min="2" max="2" width="21.77734375" customWidth="1"/>
    <col min="3" max="3" width="7.6640625" bestFit="1" customWidth="1"/>
    <col min="4" max="4" width="7.5546875" bestFit="1" customWidth="1"/>
    <col min="5" max="5" width="8.77734375" bestFit="1" customWidth="1"/>
    <col min="6" max="6" width="8.109375" bestFit="1" customWidth="1"/>
    <col min="7" max="7" width="10.5546875" bestFit="1" customWidth="1"/>
    <col min="8" max="8" width="9.21875" bestFit="1" customWidth="1"/>
  </cols>
  <sheetData>
    <row r="2" spans="1:15" ht="48" customHeight="1" x14ac:dyDescent="0.5">
      <c r="A2" s="117"/>
      <c r="B2" s="143" t="s">
        <v>196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5" thickBot="1" x14ac:dyDescent="0.35"/>
    <row r="4" spans="1:15" ht="15" thickBot="1" x14ac:dyDescent="0.35">
      <c r="B4" s="94" t="s">
        <v>172</v>
      </c>
      <c r="C4" s="107">
        <v>1000000</v>
      </c>
    </row>
    <row r="5" spans="1:15" ht="15" thickBot="1" x14ac:dyDescent="0.35"/>
    <row r="6" spans="1:15" ht="18" x14ac:dyDescent="0.35">
      <c r="A6" s="87"/>
      <c r="B6" s="88" t="s">
        <v>169</v>
      </c>
      <c r="C6" s="93" t="s">
        <v>170</v>
      </c>
      <c r="D6" s="112" t="s">
        <v>171</v>
      </c>
      <c r="E6" s="87"/>
      <c r="F6" s="88" t="s">
        <v>180</v>
      </c>
      <c r="G6" s="93" t="s">
        <v>181</v>
      </c>
      <c r="H6" s="112" t="s">
        <v>177</v>
      </c>
      <c r="I6" s="87"/>
      <c r="J6" s="87"/>
      <c r="K6" s="87"/>
      <c r="L6" s="87"/>
      <c r="M6" s="87"/>
      <c r="N6" s="87"/>
      <c r="O6" s="87"/>
    </row>
    <row r="7" spans="1:15" x14ac:dyDescent="0.3">
      <c r="B7" s="89" t="s">
        <v>163</v>
      </c>
      <c r="C7" s="118">
        <v>0.05</v>
      </c>
      <c r="D7" s="90">
        <f>SUM(D19:D22)</f>
        <v>0.05</v>
      </c>
      <c r="F7" s="113" t="s">
        <v>175</v>
      </c>
      <c r="G7" s="108">
        <f>SUM(E19:E22) + SUM(E26:E28) + SUM(E32:E35) + SUM(E39:E45) + SUM(E49:E52)+ SUM(E56:E59)</f>
        <v>1000000</v>
      </c>
      <c r="H7" s="90">
        <f>SUM(D7:D12)</f>
        <v>1</v>
      </c>
    </row>
    <row r="8" spans="1:15" ht="28.8" x14ac:dyDescent="0.3">
      <c r="B8" s="89" t="s">
        <v>64</v>
      </c>
      <c r="C8" s="118">
        <v>0</v>
      </c>
      <c r="D8" s="90">
        <f>SUM(D26:D28)</f>
        <v>0</v>
      </c>
      <c r="F8" s="121" t="s">
        <v>183</v>
      </c>
      <c r="G8" s="108">
        <f>SUM(G19:G22) + SUM(G26:G28) + SUM(G32:G35) + SUM(G39:G45) + SUM(G49:G52)+ SUM(G56:G59)</f>
        <v>683420.69864622422</v>
      </c>
      <c r="H8" s="116">
        <f>G8/C4</f>
        <v>0.68342069864622423</v>
      </c>
    </row>
    <row r="9" spans="1:15" x14ac:dyDescent="0.3">
      <c r="B9" s="89" t="s">
        <v>164</v>
      </c>
      <c r="C9" s="118">
        <v>0.25</v>
      </c>
      <c r="D9" s="90">
        <f>SUM(D32:D35)</f>
        <v>0.25</v>
      </c>
      <c r="F9" s="113" t="s">
        <v>182</v>
      </c>
      <c r="G9" s="108">
        <f>SUM(H19:H22) + SUM(H26:H28) + SUM(H32:H35) + SUM(H39:H45) + SUM(H49:H52)+ SUM(H56:H59)</f>
        <v>1126534.6381231591</v>
      </c>
      <c r="H9" s="116">
        <f>G9/C4</f>
        <v>1.1265346381231591</v>
      </c>
    </row>
    <row r="10" spans="1:15" ht="15" thickBot="1" x14ac:dyDescent="0.35">
      <c r="B10" s="89" t="s">
        <v>165</v>
      </c>
      <c r="C10" s="118">
        <v>0.2</v>
      </c>
      <c r="D10" s="90">
        <f>SUM(D49:D52)</f>
        <v>0.15000000000000002</v>
      </c>
      <c r="F10" s="114" t="s">
        <v>45</v>
      </c>
      <c r="G10" s="111">
        <f>SUM(F19:F22) + SUM(F26:F28) + SUM(F32:F35) + SUM(F39:F45) + SUM(F49:F52)+ SUM(F56:F59)</f>
        <v>22172</v>
      </c>
      <c r="H10" s="115">
        <f>G10/C4</f>
        <v>2.2172000000000001E-2</v>
      </c>
    </row>
    <row r="11" spans="1:15" x14ac:dyDescent="0.3">
      <c r="B11" s="89" t="s">
        <v>166</v>
      </c>
      <c r="C11" s="118">
        <v>0.5</v>
      </c>
      <c r="D11" s="90">
        <f>SUM(D39:D45)</f>
        <v>0.49999999999999994</v>
      </c>
      <c r="F11" s="42"/>
      <c r="G11" s="110"/>
      <c r="H11" s="40"/>
    </row>
    <row r="12" spans="1:15" ht="15" thickBot="1" x14ac:dyDescent="0.35">
      <c r="B12" s="91" t="s">
        <v>167</v>
      </c>
      <c r="C12" s="119">
        <v>0</v>
      </c>
      <c r="D12" s="92">
        <f>SUM(D56:D59)</f>
        <v>0.05</v>
      </c>
    </row>
    <row r="17" spans="1:15" ht="15.6" x14ac:dyDescent="0.3">
      <c r="A17" s="96"/>
      <c r="B17" s="96" t="s">
        <v>163</v>
      </c>
      <c r="C17" s="96"/>
      <c r="D17" s="106">
        <f>C7</f>
        <v>0.05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1:15" x14ac:dyDescent="0.3">
      <c r="A18" s="97"/>
      <c r="B18" s="105" t="s">
        <v>11</v>
      </c>
      <c r="C18" s="105" t="s">
        <v>10</v>
      </c>
      <c r="D18" s="105" t="s">
        <v>177</v>
      </c>
      <c r="E18" s="105" t="s">
        <v>175</v>
      </c>
      <c r="F18" s="105" t="s">
        <v>45</v>
      </c>
      <c r="G18" s="105" t="s">
        <v>173</v>
      </c>
      <c r="H18" s="105" t="s">
        <v>174</v>
      </c>
      <c r="I18" s="97"/>
      <c r="J18" s="97"/>
      <c r="K18" s="97"/>
      <c r="L18" s="97"/>
      <c r="M18" s="97"/>
      <c r="N18" s="97"/>
      <c r="O18" s="97"/>
    </row>
    <row r="19" spans="1:15" x14ac:dyDescent="0.3">
      <c r="B19" s="133" t="s">
        <v>197</v>
      </c>
      <c r="C19" s="134" t="s">
        <v>198</v>
      </c>
      <c r="D19" s="100">
        <v>0.01</v>
      </c>
      <c r="E19" s="136">
        <f>$C$4*D19</f>
        <v>10000</v>
      </c>
      <c r="F19" s="135">
        <f>0</f>
        <v>0</v>
      </c>
      <c r="G19" s="135">
        <f>E19</f>
        <v>10000</v>
      </c>
      <c r="H19" s="135">
        <f>E19</f>
        <v>10000</v>
      </c>
    </row>
    <row r="20" spans="1:15" x14ac:dyDescent="0.3">
      <c r="B20" s="1" t="str">
        <f>FSHBX_2</f>
        <v>Fidelity Short-Term Bond fund</v>
      </c>
      <c r="C20" s="98" t="str">
        <f>FSHBX_1</f>
        <v>FSHBX</v>
      </c>
      <c r="D20" s="100">
        <v>0.02</v>
      </c>
      <c r="E20" s="136">
        <f>$C$4*D20</f>
        <v>20000</v>
      </c>
      <c r="F20" s="109">
        <f>E20*(FSHBX_3)</f>
        <v>320</v>
      </c>
      <c r="G20" s="136">
        <f>E20*(FSHBX_5/FSHBX_4)</f>
        <v>19702.17640320733</v>
      </c>
      <c r="H20" s="136">
        <f>E20*(FSHBX_6/FSHBX_4)</f>
        <v>20114.547537227951</v>
      </c>
    </row>
    <row r="21" spans="1:15" x14ac:dyDescent="0.3">
      <c r="B21" s="1" t="str">
        <f>PPEFX_2</f>
        <v>American Funds Preservation Portfolio Class F-2</v>
      </c>
      <c r="C21" s="98" t="s">
        <v>24</v>
      </c>
      <c r="D21" s="100">
        <v>0.02</v>
      </c>
      <c r="E21" s="136">
        <f>$C$4*D21</f>
        <v>20000</v>
      </c>
      <c r="F21" s="109">
        <f>E21*(FSHBX_3)</f>
        <v>320</v>
      </c>
      <c r="G21" s="136">
        <f>E21*(PPEFX_5/PPEFX_4)</f>
        <v>20039.880358923234</v>
      </c>
      <c r="H21" s="136">
        <f>E21*(PPEFX_6/PPEFX_4)</f>
        <v>20538.38484546361</v>
      </c>
    </row>
    <row r="22" spans="1:15" x14ac:dyDescent="0.3">
      <c r="B22" s="1"/>
      <c r="C22" s="99"/>
      <c r="D22" s="100"/>
      <c r="E22" s="136"/>
      <c r="F22" s="109">
        <f>E22*(FSHBX_3)</f>
        <v>0</v>
      </c>
      <c r="G22" s="136"/>
      <c r="H22" s="136"/>
    </row>
    <row r="24" spans="1:15" ht="15.6" x14ac:dyDescent="0.3">
      <c r="A24" s="96"/>
      <c r="B24" s="96" t="s">
        <v>64</v>
      </c>
      <c r="C24" s="96"/>
      <c r="D24" s="106">
        <f>C8</f>
        <v>0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x14ac:dyDescent="0.3">
      <c r="A25" s="97"/>
      <c r="B25" s="105" t="s">
        <v>11</v>
      </c>
      <c r="C25" s="105" t="s">
        <v>10</v>
      </c>
      <c r="D25" s="105" t="s">
        <v>177</v>
      </c>
      <c r="E25" s="105" t="s">
        <v>175</v>
      </c>
      <c r="F25" s="105" t="s">
        <v>45</v>
      </c>
      <c r="G25" s="105" t="s">
        <v>173</v>
      </c>
      <c r="H25" s="105" t="s">
        <v>174</v>
      </c>
      <c r="I25" s="97"/>
      <c r="J25" s="97"/>
      <c r="K25" s="97"/>
      <c r="L25" s="97"/>
      <c r="M25" s="97"/>
      <c r="N25" s="97"/>
      <c r="O25" s="97"/>
    </row>
    <row r="26" spans="1:15" x14ac:dyDescent="0.3">
      <c r="B26" s="1"/>
      <c r="C26" s="98"/>
      <c r="D26" s="100"/>
      <c r="E26" s="136"/>
      <c r="F26" s="109"/>
      <c r="G26" s="136"/>
      <c r="H26" s="136"/>
    </row>
    <row r="27" spans="1:15" x14ac:dyDescent="0.3">
      <c r="B27" s="1"/>
      <c r="C27" s="98"/>
      <c r="D27" s="100"/>
      <c r="E27" s="136"/>
      <c r="F27" s="109"/>
      <c r="G27" s="136"/>
      <c r="H27" s="136"/>
    </row>
    <row r="28" spans="1:15" x14ac:dyDescent="0.3">
      <c r="B28" s="1"/>
      <c r="C28" s="99"/>
      <c r="D28" s="100"/>
      <c r="E28" s="136"/>
      <c r="F28" s="109"/>
      <c r="G28" s="136"/>
      <c r="H28" s="136"/>
    </row>
    <row r="30" spans="1:15" ht="15.6" x14ac:dyDescent="0.3">
      <c r="A30" s="96"/>
      <c r="B30" s="96" t="s">
        <v>164</v>
      </c>
      <c r="C30" s="96"/>
      <c r="D30" s="106">
        <f>C9</f>
        <v>0.25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5" x14ac:dyDescent="0.3">
      <c r="A31" s="97"/>
      <c r="B31" s="105" t="s">
        <v>11</v>
      </c>
      <c r="C31" s="105" t="s">
        <v>10</v>
      </c>
      <c r="D31" s="105" t="s">
        <v>177</v>
      </c>
      <c r="E31" s="105" t="s">
        <v>175</v>
      </c>
      <c r="F31" s="105" t="s">
        <v>45</v>
      </c>
      <c r="G31" s="105" t="s">
        <v>173</v>
      </c>
      <c r="H31" s="105" t="s">
        <v>174</v>
      </c>
      <c r="I31" s="97"/>
      <c r="J31" s="97"/>
      <c r="K31" s="97"/>
      <c r="L31" s="97"/>
      <c r="M31" s="97"/>
      <c r="N31" s="97"/>
      <c r="O31" s="97"/>
    </row>
    <row r="32" spans="1:15" x14ac:dyDescent="0.3">
      <c r="B32" s="1" t="str">
        <f>VXUS_2</f>
        <v>Vanguard Total International Stock Index Fund ETF Shares</v>
      </c>
      <c r="C32" s="98" t="s">
        <v>160</v>
      </c>
      <c r="D32" s="100">
        <v>0.15</v>
      </c>
      <c r="E32" s="136">
        <f>$C$4*D32</f>
        <v>150000</v>
      </c>
      <c r="F32" s="109">
        <f>E32*(VXUS_3)</f>
        <v>3075</v>
      </c>
      <c r="G32" s="136">
        <f>E32*(VXUS_5/VXUS_4)</f>
        <v>101256.78119349005</v>
      </c>
      <c r="H32" s="136">
        <f>E32*(VXUS_6/VXUS_4)</f>
        <v>171509.94575045208</v>
      </c>
    </row>
    <row r="33" spans="1:15" x14ac:dyDescent="0.3">
      <c r="B33" s="1" t="str">
        <f>VSS_2</f>
        <v>Vanguard FTSE All-World EX-US Small-Cap Index ETF</v>
      </c>
      <c r="C33" s="98" t="s">
        <v>116</v>
      </c>
      <c r="D33" s="100">
        <v>0.05</v>
      </c>
      <c r="E33" s="136">
        <f>$C$4*D33</f>
        <v>50000</v>
      </c>
      <c r="F33" s="109">
        <f>E33*(VSS_3)</f>
        <v>890</v>
      </c>
      <c r="G33" s="136">
        <f>E33*(VSS_5/VSS_4)</f>
        <v>31623.424081856389</v>
      </c>
      <c r="H33" s="136">
        <f>E33*(VSS_6/VSS_4)</f>
        <v>57477.617394482004</v>
      </c>
    </row>
    <row r="34" spans="1:15" x14ac:dyDescent="0.3">
      <c r="B34" s="1" t="str">
        <f>PFFD_2</f>
        <v>Global X US Preferred ETF</v>
      </c>
      <c r="C34" s="99" t="s">
        <v>57</v>
      </c>
      <c r="D34" s="100">
        <v>0.05</v>
      </c>
      <c r="E34" s="136">
        <f>$C$4*D34</f>
        <v>50000</v>
      </c>
      <c r="F34" s="109">
        <f>E34*(PFFD_3)</f>
        <v>2265</v>
      </c>
      <c r="G34" s="136">
        <f>E34*(PFFD_5/PFFD_4)</f>
        <v>34564.021995286726</v>
      </c>
      <c r="H34" s="136">
        <f>E34*(PFFD_6/PFFD_4)</f>
        <v>50392.772977219167</v>
      </c>
    </row>
    <row r="35" spans="1:15" x14ac:dyDescent="0.3">
      <c r="B35" s="1"/>
      <c r="C35" s="99"/>
      <c r="D35" s="100"/>
      <c r="E35" s="136"/>
      <c r="F35" s="109"/>
      <c r="G35" s="136"/>
      <c r="H35" s="136"/>
    </row>
    <row r="37" spans="1:15" ht="15.6" x14ac:dyDescent="0.3">
      <c r="A37" s="96"/>
      <c r="B37" s="96" t="s">
        <v>178</v>
      </c>
      <c r="C37" s="96"/>
      <c r="D37" s="106">
        <f>C11</f>
        <v>0.5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x14ac:dyDescent="0.3">
      <c r="A38" s="97"/>
      <c r="B38" s="105" t="s">
        <v>11</v>
      </c>
      <c r="C38" s="105" t="s">
        <v>10</v>
      </c>
      <c r="D38" s="105" t="s">
        <v>177</v>
      </c>
      <c r="E38" s="105" t="s">
        <v>175</v>
      </c>
      <c r="F38" s="105" t="s">
        <v>45</v>
      </c>
      <c r="G38" s="105" t="s">
        <v>173</v>
      </c>
      <c r="H38" s="105" t="s">
        <v>174</v>
      </c>
      <c r="I38" s="97"/>
      <c r="J38" s="97"/>
      <c r="K38" s="97"/>
      <c r="L38" s="97"/>
      <c r="M38" s="97"/>
      <c r="N38" s="97"/>
      <c r="O38" s="97"/>
    </row>
    <row r="39" spans="1:15" x14ac:dyDescent="0.3">
      <c r="B39" s="1" t="str">
        <f>VFMV_2</f>
        <v>Vanguard US Minimum Volatility ETF</v>
      </c>
      <c r="C39" s="98" t="s">
        <v>118</v>
      </c>
      <c r="D39" s="100">
        <v>0.15</v>
      </c>
      <c r="E39" s="136">
        <f t="shared" ref="E39:E44" si="0">$C$4*D39</f>
        <v>150000</v>
      </c>
      <c r="F39" s="109">
        <f>E39*(VFMV_3)</f>
        <v>3015</v>
      </c>
      <c r="G39" s="136">
        <f>E39*(VFMV_5/VFMV_4)</f>
        <v>106847.57260970956</v>
      </c>
      <c r="H39" s="136">
        <f>E39*(VFMV_6/VFMV_4)</f>
        <v>146708.71316514732</v>
      </c>
    </row>
    <row r="40" spans="1:15" x14ac:dyDescent="0.3">
      <c r="B40" s="1" t="str">
        <f>VTI_2</f>
        <v>Vanguard Total Stock Market Index Fund ETF</v>
      </c>
      <c r="C40" s="98" t="s">
        <v>55</v>
      </c>
      <c r="D40" s="100">
        <v>0.15</v>
      </c>
      <c r="E40" s="136">
        <f t="shared" si="0"/>
        <v>150000</v>
      </c>
      <c r="F40" s="109">
        <f>E40*(VTI_3)</f>
        <v>2085</v>
      </c>
      <c r="G40" s="136">
        <f>E40*(VTI_5/VTI_4)</f>
        <v>103859.55741418366</v>
      </c>
      <c r="H40" s="136">
        <f>E40*(VTI_6/VTI_4)</f>
        <v>175309.28733228787</v>
      </c>
    </row>
    <row r="41" spans="1:15" x14ac:dyDescent="0.3">
      <c r="B41" s="1" t="str">
        <f>PFF_2</f>
        <v>iShares Preferred and Income Securities ETF</v>
      </c>
      <c r="C41" s="98" t="s">
        <v>159</v>
      </c>
      <c r="D41" s="100">
        <v>0.05</v>
      </c>
      <c r="E41" s="136">
        <f t="shared" si="0"/>
        <v>50000</v>
      </c>
      <c r="F41" s="109">
        <f>E41*(PFF_3)</f>
        <v>2170</v>
      </c>
      <c r="G41" s="136">
        <f>E41*(PFF_5/PFF_4)</f>
        <v>32991.857105332281</v>
      </c>
      <c r="H41" s="136">
        <f>E41*(PFF_6/PFF_4)</f>
        <v>50315.208825847127</v>
      </c>
    </row>
    <row r="42" spans="1:15" x14ac:dyDescent="0.3">
      <c r="B42" s="1" t="str">
        <f>IDV_2</f>
        <v>iShares Dow Jones International Select Dividend Index</v>
      </c>
      <c r="C42" s="98" t="s">
        <v>105</v>
      </c>
      <c r="D42" s="100">
        <v>0.05</v>
      </c>
      <c r="E42" s="136">
        <f t="shared" si="0"/>
        <v>50000</v>
      </c>
      <c r="F42" s="109">
        <f>E42*(IDV_3)</f>
        <v>2475</v>
      </c>
      <c r="G42" s="136">
        <f>E42*(IDV_5/IDV_4)</f>
        <v>30513.950073421442</v>
      </c>
      <c r="H42" s="136">
        <f>E42*(IDV_6/IDV_4)</f>
        <v>45389.133627019095</v>
      </c>
    </row>
    <row r="43" spans="1:15" x14ac:dyDescent="0.3">
      <c r="B43" s="1" t="str">
        <f>VNQ_2</f>
        <v>Vanguard REIT Index Fund ETF Shares</v>
      </c>
      <c r="C43" s="98" t="s">
        <v>31</v>
      </c>
      <c r="D43" s="100">
        <v>0.05</v>
      </c>
      <c r="E43" s="136">
        <f t="shared" si="0"/>
        <v>50000</v>
      </c>
      <c r="F43" s="109">
        <f>E43*(VNQ_3)</f>
        <v>1905</v>
      </c>
      <c r="G43" s="136">
        <f>E43*(VNQ_5/VNQ_4)</f>
        <v>31468.074409250879</v>
      </c>
      <c r="H43" s="136">
        <f>E43*(VNQ_6/VNQ_4)</f>
        <v>43021.618903971845</v>
      </c>
    </row>
    <row r="44" spans="1:15" x14ac:dyDescent="0.3">
      <c r="B44" s="1" t="str">
        <f>VPU_2</f>
        <v>Vanguard Utilities</v>
      </c>
      <c r="C44" s="99" t="s">
        <v>36</v>
      </c>
      <c r="D44" s="100">
        <v>0.05</v>
      </c>
      <c r="E44" s="136">
        <f t="shared" si="0"/>
        <v>50000</v>
      </c>
      <c r="F44" s="109">
        <f>E44*(VPU_3)</f>
        <v>1535</v>
      </c>
      <c r="G44" s="136">
        <f>E44*(VPU_5/VPU_4)</f>
        <v>38689.860320744956</v>
      </c>
      <c r="H44" s="136">
        <f>E44*(VPU_6/VPU_4)</f>
        <v>44399.896533885156</v>
      </c>
    </row>
    <row r="45" spans="1:15" x14ac:dyDescent="0.3">
      <c r="B45" s="1"/>
      <c r="C45" s="99"/>
      <c r="D45" s="100"/>
      <c r="E45" s="136"/>
      <c r="F45" s="109"/>
      <c r="G45" s="136"/>
      <c r="H45" s="136"/>
    </row>
    <row r="47" spans="1:15" ht="15.6" x14ac:dyDescent="0.3">
      <c r="A47" s="96"/>
      <c r="B47" s="96" t="s">
        <v>179</v>
      </c>
      <c r="C47" s="96"/>
      <c r="D47" s="106">
        <f>C10</f>
        <v>0.2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15" x14ac:dyDescent="0.3">
      <c r="A48" s="97"/>
      <c r="B48" s="105" t="s">
        <v>11</v>
      </c>
      <c r="C48" s="105" t="s">
        <v>10</v>
      </c>
      <c r="D48" s="105" t="s">
        <v>177</v>
      </c>
      <c r="E48" s="105" t="s">
        <v>175</v>
      </c>
      <c r="F48" s="105" t="s">
        <v>45</v>
      </c>
      <c r="G48" s="105" t="s">
        <v>173</v>
      </c>
      <c r="H48" s="105" t="s">
        <v>174</v>
      </c>
      <c r="I48" s="97"/>
      <c r="J48" s="97"/>
      <c r="K48" s="97"/>
      <c r="L48" s="97"/>
      <c r="M48" s="97"/>
      <c r="N48" s="97"/>
      <c r="O48" s="97"/>
    </row>
    <row r="49" spans="1:15" x14ac:dyDescent="0.3">
      <c r="B49" s="1" t="str">
        <f>VTWO_2</f>
        <v>Vanguard Russell 2000 Index Fund ETF</v>
      </c>
      <c r="C49" s="98" t="s">
        <v>52</v>
      </c>
      <c r="D49" s="100">
        <v>7.0000000000000007E-2</v>
      </c>
      <c r="E49" s="136">
        <f>$C$4*D49</f>
        <v>70000</v>
      </c>
      <c r="F49" s="109">
        <f>E49*(VTWO_3)</f>
        <v>574</v>
      </c>
      <c r="G49" s="136">
        <f>E49*(VTWO_5/VTWO_4)</f>
        <v>41487.994089397856</v>
      </c>
      <c r="H49" s="136">
        <f>E49*(VTWO_6/VTWO_4)</f>
        <v>88742.51939416329</v>
      </c>
    </row>
    <row r="50" spans="1:15" x14ac:dyDescent="0.3">
      <c r="B50" s="1" t="str">
        <f>XSLV_2</f>
        <v>Invesco S&amp;P SmallCap Low Volatility ETF</v>
      </c>
      <c r="C50" s="98" t="s">
        <v>18</v>
      </c>
      <c r="D50" s="100">
        <v>0.08</v>
      </c>
      <c r="E50" s="136">
        <f>$C$4*D50</f>
        <v>80000</v>
      </c>
      <c r="F50" s="109">
        <f>E50*(XSLV_3)</f>
        <v>1792</v>
      </c>
      <c r="G50" s="136">
        <f>E50*(XSLV_5/XSLV_4)</f>
        <v>47809.263240179789</v>
      </c>
      <c r="H50" s="136">
        <f>E50*(XSLV_6/XSLV_4)</f>
        <v>66679.695133867499</v>
      </c>
    </row>
    <row r="51" spans="1:15" x14ac:dyDescent="0.3">
      <c r="B51" s="1"/>
      <c r="C51" s="99"/>
      <c r="D51" s="100"/>
      <c r="E51" s="136"/>
      <c r="F51" s="109"/>
      <c r="G51" s="136"/>
      <c r="H51" s="136"/>
    </row>
    <row r="52" spans="1:15" x14ac:dyDescent="0.3">
      <c r="B52" s="1"/>
      <c r="C52" s="99"/>
      <c r="D52" s="100"/>
      <c r="E52" s="136"/>
      <c r="F52" s="109"/>
      <c r="G52" s="136"/>
      <c r="H52" s="136"/>
    </row>
    <row r="54" spans="1:15" ht="15.6" x14ac:dyDescent="0.3">
      <c r="A54" s="96"/>
      <c r="B54" s="96" t="s">
        <v>167</v>
      </c>
      <c r="C54" s="96"/>
      <c r="D54" s="106">
        <f>C12</f>
        <v>0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1:15" x14ac:dyDescent="0.3">
      <c r="A55" s="97"/>
      <c r="B55" s="105" t="s">
        <v>11</v>
      </c>
      <c r="C55" s="105" t="s">
        <v>10</v>
      </c>
      <c r="D55" s="105" t="s">
        <v>177</v>
      </c>
      <c r="E55" s="105" t="s">
        <v>175</v>
      </c>
      <c r="F55" s="105" t="s">
        <v>45</v>
      </c>
      <c r="G55" s="105" t="s">
        <v>173</v>
      </c>
      <c r="H55" s="105" t="s">
        <v>174</v>
      </c>
      <c r="I55" s="97"/>
      <c r="J55" s="97"/>
      <c r="K55" s="97"/>
      <c r="L55" s="97"/>
      <c r="M55" s="97"/>
      <c r="N55" s="97"/>
      <c r="O55" s="97"/>
    </row>
    <row r="56" spans="1:15" x14ac:dyDescent="0.3">
      <c r="B56" s="1" t="str">
        <f>ARKG_2</f>
        <v>ARK Genomic Revolution ETF</v>
      </c>
      <c r="C56" s="98" t="s">
        <v>60</v>
      </c>
      <c r="D56" s="100">
        <v>0.03</v>
      </c>
      <c r="E56" s="136">
        <f>$C$4*D56</f>
        <v>30000</v>
      </c>
      <c r="F56" s="109">
        <f>E56*(ARKG_3)</f>
        <v>-225</v>
      </c>
      <c r="G56" s="136">
        <f>E56*(ARKG_5/ARKG_4)</f>
        <v>20166.577109081139</v>
      </c>
      <c r="H56" s="136">
        <f>E56*(ARKG_6/ARKG_4)</f>
        <v>88291.241268135418</v>
      </c>
    </row>
    <row r="57" spans="1:15" x14ac:dyDescent="0.3">
      <c r="B57" s="1" t="str">
        <f>ICLN_2</f>
        <v>iShares Global Clean Energy</v>
      </c>
      <c r="C57" s="98" t="s">
        <v>62</v>
      </c>
      <c r="D57" s="100">
        <v>0.02</v>
      </c>
      <c r="E57" s="136">
        <f>$C$4*D57</f>
        <v>20000</v>
      </c>
      <c r="F57" s="109">
        <f>E57*(ICLN_3)</f>
        <v>-23.999999999999996</v>
      </c>
      <c r="G57" s="136">
        <f>E57*(ICLN_5/ICLN_4)</f>
        <v>12399.708242159006</v>
      </c>
      <c r="H57" s="136">
        <f>E57*(ICLN_6/ICLN_4)</f>
        <v>47644.055433989779</v>
      </c>
    </row>
    <row r="58" spans="1:15" x14ac:dyDescent="0.3">
      <c r="B58" s="1"/>
      <c r="C58" s="99"/>
      <c r="D58" s="100"/>
      <c r="E58" s="136"/>
      <c r="F58" s="109"/>
      <c r="G58" s="136"/>
      <c r="H58" s="136"/>
    </row>
    <row r="59" spans="1:15" x14ac:dyDescent="0.3">
      <c r="B59" s="1"/>
      <c r="C59" s="99"/>
      <c r="D59" s="100"/>
      <c r="E59" s="136"/>
      <c r="F59" s="109"/>
      <c r="G59" s="136"/>
      <c r="H59" s="136"/>
    </row>
  </sheetData>
  <mergeCells count="1">
    <mergeCell ref="B2:O2"/>
  </mergeCells>
  <pageMargins left="0.25" right="0.25" top="0.75" bottom="0.75" header="0.3" footer="0.3"/>
  <pageSetup scale="7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294</vt:i4>
      </vt:variant>
    </vt:vector>
  </HeadingPairs>
  <TitlesOfParts>
    <vt:vector size="299" baseType="lpstr">
      <vt:lpstr>BufferBaseline</vt:lpstr>
      <vt:lpstr>Funds</vt:lpstr>
      <vt:lpstr>Conservative</vt:lpstr>
      <vt:lpstr>Moderate</vt:lpstr>
      <vt:lpstr>Aggressive</vt:lpstr>
      <vt:lpstr>ABBV_1</vt:lpstr>
      <vt:lpstr>ABBV_2</vt:lpstr>
      <vt:lpstr>ABBV_3</vt:lpstr>
      <vt:lpstr>ABBV_4</vt:lpstr>
      <vt:lpstr>ABBV_5</vt:lpstr>
      <vt:lpstr>ABBV_6</vt:lpstr>
      <vt:lpstr>ARKG_1</vt:lpstr>
      <vt:lpstr>ARKG_2</vt:lpstr>
      <vt:lpstr>ARKG_3</vt:lpstr>
      <vt:lpstr>ARKG_4</vt:lpstr>
      <vt:lpstr>ARKG_5</vt:lpstr>
      <vt:lpstr>ARKG_6</vt:lpstr>
      <vt:lpstr>AWF_1</vt:lpstr>
      <vt:lpstr>AWF_2</vt:lpstr>
      <vt:lpstr>AWF_3</vt:lpstr>
      <vt:lpstr>AWF_4</vt:lpstr>
      <vt:lpstr>AWF_5</vt:lpstr>
      <vt:lpstr>AWF_6</vt:lpstr>
      <vt:lpstr>BL</vt:lpstr>
      <vt:lpstr>BNDW_1</vt:lpstr>
      <vt:lpstr>BNDW_2</vt:lpstr>
      <vt:lpstr>BNDW_3</vt:lpstr>
      <vt:lpstr>BNDW_4</vt:lpstr>
      <vt:lpstr>BNDW_5</vt:lpstr>
      <vt:lpstr>BNDW_6</vt:lpstr>
      <vt:lpstr>BufferBaseline</vt:lpstr>
      <vt:lpstr>BufferPercent</vt:lpstr>
      <vt:lpstr>CCL_1</vt:lpstr>
      <vt:lpstr>CCL_2</vt:lpstr>
      <vt:lpstr>CCL_3</vt:lpstr>
      <vt:lpstr>CCL_4</vt:lpstr>
      <vt:lpstr>CCL_5</vt:lpstr>
      <vt:lpstr>CCL_6</vt:lpstr>
      <vt:lpstr>CL</vt:lpstr>
      <vt:lpstr>DEA_1</vt:lpstr>
      <vt:lpstr>DEA_2</vt:lpstr>
      <vt:lpstr>DEA_3</vt:lpstr>
      <vt:lpstr>DEA_4</vt:lpstr>
      <vt:lpstr>DEA_5</vt:lpstr>
      <vt:lpstr>DEA_6</vt:lpstr>
      <vt:lpstr>DLR_1</vt:lpstr>
      <vt:lpstr>DLR_2</vt:lpstr>
      <vt:lpstr>DLR_3</vt:lpstr>
      <vt:lpstr>DLR_4</vt:lpstr>
      <vt:lpstr>DLR_5</vt:lpstr>
      <vt:lpstr>DLR_6</vt:lpstr>
      <vt:lpstr>FSHBX_1</vt:lpstr>
      <vt:lpstr>FSHBX_2</vt:lpstr>
      <vt:lpstr>FSHBX_3</vt:lpstr>
      <vt:lpstr>FSHBX_4</vt:lpstr>
      <vt:lpstr>FSHBX_5</vt:lpstr>
      <vt:lpstr>FSHBX_6</vt:lpstr>
      <vt:lpstr>GHYG_1</vt:lpstr>
      <vt:lpstr>GHYG_2</vt:lpstr>
      <vt:lpstr>GHYG_3</vt:lpstr>
      <vt:lpstr>GHYG_4</vt:lpstr>
      <vt:lpstr>GHYG_5</vt:lpstr>
      <vt:lpstr>GHYG_6</vt:lpstr>
      <vt:lpstr>GM_1</vt:lpstr>
      <vt:lpstr>GM_2</vt:lpstr>
      <vt:lpstr>GM_3</vt:lpstr>
      <vt:lpstr>GM_4</vt:lpstr>
      <vt:lpstr>GM_5</vt:lpstr>
      <vt:lpstr>GM_6</vt:lpstr>
      <vt:lpstr>IBM_1</vt:lpstr>
      <vt:lpstr>IBM_2</vt:lpstr>
      <vt:lpstr>IBM_3</vt:lpstr>
      <vt:lpstr>IBM_5</vt:lpstr>
      <vt:lpstr>IBM_6</vt:lpstr>
      <vt:lpstr>IBM_7</vt:lpstr>
      <vt:lpstr>ICLN_1</vt:lpstr>
      <vt:lpstr>ICLN_2</vt:lpstr>
      <vt:lpstr>ICLN_3</vt:lpstr>
      <vt:lpstr>ICLN_4</vt:lpstr>
      <vt:lpstr>ICLN_5</vt:lpstr>
      <vt:lpstr>ICLN_6</vt:lpstr>
      <vt:lpstr>IDV_1</vt:lpstr>
      <vt:lpstr>IDV_2</vt:lpstr>
      <vt:lpstr>IDV_3</vt:lpstr>
      <vt:lpstr>IDV_4</vt:lpstr>
      <vt:lpstr>IDV_5</vt:lpstr>
      <vt:lpstr>IDV_6</vt:lpstr>
      <vt:lpstr>JETS_1</vt:lpstr>
      <vt:lpstr>JETS_2</vt:lpstr>
      <vt:lpstr>JETS_3</vt:lpstr>
      <vt:lpstr>JETS_4</vt:lpstr>
      <vt:lpstr>JETS_5</vt:lpstr>
      <vt:lpstr>JETS_6</vt:lpstr>
      <vt:lpstr>MORT_1</vt:lpstr>
      <vt:lpstr>MORT_2</vt:lpstr>
      <vt:lpstr>MORT_3</vt:lpstr>
      <vt:lpstr>MORT_4</vt:lpstr>
      <vt:lpstr>MORT_5</vt:lpstr>
      <vt:lpstr>MORT_6</vt:lpstr>
      <vt:lpstr>NCLH_</vt:lpstr>
      <vt:lpstr>NCLH_1</vt:lpstr>
      <vt:lpstr>NCLH_2</vt:lpstr>
      <vt:lpstr>NCLH_3</vt:lpstr>
      <vt:lpstr>NCLH_4</vt:lpstr>
      <vt:lpstr>NCLH_5</vt:lpstr>
      <vt:lpstr>PCN_1</vt:lpstr>
      <vt:lpstr>PCN_2</vt:lpstr>
      <vt:lpstr>PCN_3</vt:lpstr>
      <vt:lpstr>PCN_4</vt:lpstr>
      <vt:lpstr>PCN_5</vt:lpstr>
      <vt:lpstr>PCN_6</vt:lpstr>
      <vt:lpstr>PFF_1</vt:lpstr>
      <vt:lpstr>PFF_2</vt:lpstr>
      <vt:lpstr>PFF_3</vt:lpstr>
      <vt:lpstr>PFF_4</vt:lpstr>
      <vt:lpstr>PFF_5</vt:lpstr>
      <vt:lpstr>PFF_6</vt:lpstr>
      <vt:lpstr>PFFD_1</vt:lpstr>
      <vt:lpstr>PFFD_2</vt:lpstr>
      <vt:lpstr>PFFD_3</vt:lpstr>
      <vt:lpstr>PFFD_4</vt:lpstr>
      <vt:lpstr>PFFD_5</vt:lpstr>
      <vt:lpstr>PFFD_6</vt:lpstr>
      <vt:lpstr>PPEFX_1</vt:lpstr>
      <vt:lpstr>PPEFX_2</vt:lpstr>
      <vt:lpstr>PPEFX_3</vt:lpstr>
      <vt:lpstr>PPEFX_4</vt:lpstr>
      <vt:lpstr>PPEFX_5</vt:lpstr>
      <vt:lpstr>PPEFX_6</vt:lpstr>
      <vt:lpstr>Aggressive!Print_Area</vt:lpstr>
      <vt:lpstr>BufferBaseline!Print_Area</vt:lpstr>
      <vt:lpstr>Conservative!Print_Area</vt:lpstr>
      <vt:lpstr>Funds!Print_Area</vt:lpstr>
      <vt:lpstr>Moderate!Print_Area</vt:lpstr>
      <vt:lpstr>Conservative!Print_Titles</vt:lpstr>
      <vt:lpstr>Funds!Print_Titles</vt:lpstr>
      <vt:lpstr>RCL_1</vt:lpstr>
      <vt:lpstr>RCL_2</vt:lpstr>
      <vt:lpstr>RCL_3</vt:lpstr>
      <vt:lpstr>RCL_4</vt:lpstr>
      <vt:lpstr>RCL_5</vt:lpstr>
      <vt:lpstr>RCL_6</vt:lpstr>
      <vt:lpstr>RF</vt:lpstr>
      <vt:lpstr>RW</vt:lpstr>
      <vt:lpstr>SDIV_1</vt:lpstr>
      <vt:lpstr>SDIV_2</vt:lpstr>
      <vt:lpstr>SDIV_3</vt:lpstr>
      <vt:lpstr>SDIV_4</vt:lpstr>
      <vt:lpstr>SDIV_5</vt:lpstr>
      <vt:lpstr>SDIV_6</vt:lpstr>
      <vt:lpstr>SI</vt:lpstr>
      <vt:lpstr>SJNK_1</vt:lpstr>
      <vt:lpstr>SJNK_2</vt:lpstr>
      <vt:lpstr>SJNK_3</vt:lpstr>
      <vt:lpstr>SJNK_4</vt:lpstr>
      <vt:lpstr>SJNK_5</vt:lpstr>
      <vt:lpstr>SJNK_6</vt:lpstr>
      <vt:lpstr>SYY_1</vt:lpstr>
      <vt:lpstr>SYY_2</vt:lpstr>
      <vt:lpstr>SYY_3</vt:lpstr>
      <vt:lpstr>SYY_4</vt:lpstr>
      <vt:lpstr>SYY_5</vt:lpstr>
      <vt:lpstr>SYY_6</vt:lpstr>
      <vt:lpstr>T_1</vt:lpstr>
      <vt:lpstr>T_2</vt:lpstr>
      <vt:lpstr>T_3</vt:lpstr>
      <vt:lpstr>T_4</vt:lpstr>
      <vt:lpstr>T_5</vt:lpstr>
      <vt:lpstr>T_6</vt:lpstr>
      <vt:lpstr>TB</vt:lpstr>
      <vt:lpstr>TOTL_1</vt:lpstr>
      <vt:lpstr>TOTL_2</vt:lpstr>
      <vt:lpstr>TOTL_3</vt:lpstr>
      <vt:lpstr>TOTL_4</vt:lpstr>
      <vt:lpstr>TOTL_5</vt:lpstr>
      <vt:lpstr>TOTL_6</vt:lpstr>
      <vt:lpstr>USHY_1</vt:lpstr>
      <vt:lpstr>USHY_2</vt:lpstr>
      <vt:lpstr>USHY_3</vt:lpstr>
      <vt:lpstr>USHY_4</vt:lpstr>
      <vt:lpstr>USHY_5</vt:lpstr>
      <vt:lpstr>USHY_6</vt:lpstr>
      <vt:lpstr>VAW_1</vt:lpstr>
      <vt:lpstr>VAW_2</vt:lpstr>
      <vt:lpstr>VAW_3</vt:lpstr>
      <vt:lpstr>VAW_4</vt:lpstr>
      <vt:lpstr>VAW_5</vt:lpstr>
      <vt:lpstr>VAW_6</vt:lpstr>
      <vt:lpstr>VCR_1</vt:lpstr>
      <vt:lpstr>VCR_2</vt:lpstr>
      <vt:lpstr>VCR_3</vt:lpstr>
      <vt:lpstr>VCR_4</vt:lpstr>
      <vt:lpstr>VCR_5</vt:lpstr>
      <vt:lpstr>VCR_6</vt:lpstr>
      <vt:lpstr>VDC_1</vt:lpstr>
      <vt:lpstr>VDC_2</vt:lpstr>
      <vt:lpstr>VDC_3</vt:lpstr>
      <vt:lpstr>VDC_4</vt:lpstr>
      <vt:lpstr>VDC_5</vt:lpstr>
      <vt:lpstr>VDC_6</vt:lpstr>
      <vt:lpstr>VFH_1</vt:lpstr>
      <vt:lpstr>VFH_2</vt:lpstr>
      <vt:lpstr>VFH_3</vt:lpstr>
      <vt:lpstr>VFH_4</vt:lpstr>
      <vt:lpstr>VFH_5</vt:lpstr>
      <vt:lpstr>VFH_6</vt:lpstr>
      <vt:lpstr>VFMV_1</vt:lpstr>
      <vt:lpstr>VFMV_2</vt:lpstr>
      <vt:lpstr>VFMV_3</vt:lpstr>
      <vt:lpstr>VFMV_4</vt:lpstr>
      <vt:lpstr>VFMV_5</vt:lpstr>
      <vt:lpstr>VFMV_6</vt:lpstr>
      <vt:lpstr>VGT_1</vt:lpstr>
      <vt:lpstr>VGT_2</vt:lpstr>
      <vt:lpstr>VGT_3</vt:lpstr>
      <vt:lpstr>VGT_4</vt:lpstr>
      <vt:lpstr>VGT_5</vt:lpstr>
      <vt:lpstr>VGT_6</vt:lpstr>
      <vt:lpstr>VIS_1</vt:lpstr>
      <vt:lpstr>VIS_2</vt:lpstr>
      <vt:lpstr>VIS_3</vt:lpstr>
      <vt:lpstr>VIS_4</vt:lpstr>
      <vt:lpstr>VIS_5</vt:lpstr>
      <vt:lpstr>VIS_6</vt:lpstr>
      <vt:lpstr>VNQ_1</vt:lpstr>
      <vt:lpstr>VNQ_2</vt:lpstr>
      <vt:lpstr>VNQ_3</vt:lpstr>
      <vt:lpstr>VNQ_4</vt:lpstr>
      <vt:lpstr>VNQ_5</vt:lpstr>
      <vt:lpstr>VNQ_6</vt:lpstr>
      <vt:lpstr>VPU_1</vt:lpstr>
      <vt:lpstr>VPU_2</vt:lpstr>
      <vt:lpstr>VPU_3</vt:lpstr>
      <vt:lpstr>VPU_4</vt:lpstr>
      <vt:lpstr>VPU_5</vt:lpstr>
      <vt:lpstr>VPU_6</vt:lpstr>
      <vt:lpstr>VSCSX_1</vt:lpstr>
      <vt:lpstr>VSCSX_2</vt:lpstr>
      <vt:lpstr>VSCSX_3</vt:lpstr>
      <vt:lpstr>VSCSX_4</vt:lpstr>
      <vt:lpstr>VSCSX_5</vt:lpstr>
      <vt:lpstr>VSCSX_6</vt:lpstr>
      <vt:lpstr>VSS_1</vt:lpstr>
      <vt:lpstr>VSS_2</vt:lpstr>
      <vt:lpstr>VSS_3</vt:lpstr>
      <vt:lpstr>VSS_4</vt:lpstr>
      <vt:lpstr>VSS_5</vt:lpstr>
      <vt:lpstr>VSS_6</vt:lpstr>
      <vt:lpstr>VT_1</vt:lpstr>
      <vt:lpstr>VT_2</vt:lpstr>
      <vt:lpstr>VT_3</vt:lpstr>
      <vt:lpstr>VT_4</vt:lpstr>
      <vt:lpstr>VT_5</vt:lpstr>
      <vt:lpstr>VT_6</vt:lpstr>
      <vt:lpstr>VTI_1</vt:lpstr>
      <vt:lpstr>VTI_2</vt:lpstr>
      <vt:lpstr>VTI_3</vt:lpstr>
      <vt:lpstr>VTI_4</vt:lpstr>
      <vt:lpstr>VTI_5</vt:lpstr>
      <vt:lpstr>VTI_6</vt:lpstr>
      <vt:lpstr>VTWO_1</vt:lpstr>
      <vt:lpstr>VTWO_2</vt:lpstr>
      <vt:lpstr>VTWO_3</vt:lpstr>
      <vt:lpstr>VTWO_4</vt:lpstr>
      <vt:lpstr>VTWO_5</vt:lpstr>
      <vt:lpstr>VTWO_6</vt:lpstr>
      <vt:lpstr>VXUS_1</vt:lpstr>
      <vt:lpstr>VXUS_2</vt:lpstr>
      <vt:lpstr>VXUS_3</vt:lpstr>
      <vt:lpstr>VXUS_4</vt:lpstr>
      <vt:lpstr>VXUS_5</vt:lpstr>
      <vt:lpstr>VXUS_6</vt:lpstr>
      <vt:lpstr>XLC_1</vt:lpstr>
      <vt:lpstr>XLC_2</vt:lpstr>
      <vt:lpstr>XLC_3</vt:lpstr>
      <vt:lpstr>XLC_4</vt:lpstr>
      <vt:lpstr>XLC_5</vt:lpstr>
      <vt:lpstr>XLC_6</vt:lpstr>
      <vt:lpstr>XLE_1</vt:lpstr>
      <vt:lpstr>XLE_2</vt:lpstr>
      <vt:lpstr>XLE_3</vt:lpstr>
      <vt:lpstr>XLE_4</vt:lpstr>
      <vt:lpstr>XLE_5</vt:lpstr>
      <vt:lpstr>XLE_6</vt:lpstr>
      <vt:lpstr>XLV_1</vt:lpstr>
      <vt:lpstr>XLV_2</vt:lpstr>
      <vt:lpstr>XLV_3</vt:lpstr>
      <vt:lpstr>XLV_4</vt:lpstr>
      <vt:lpstr>XLV_5</vt:lpstr>
      <vt:lpstr>XLV_6</vt:lpstr>
      <vt:lpstr>XSLV_1</vt:lpstr>
      <vt:lpstr>XSLV_2</vt:lpstr>
      <vt:lpstr>XSLV_3</vt:lpstr>
      <vt:lpstr>XSLV_4</vt:lpstr>
      <vt:lpstr>XSLV_5</vt:lpstr>
      <vt:lpstr>XSLV_6</vt:lpstr>
      <vt:lpstr>YearsToRetire</vt:lpstr>
      <vt:lpstr>YrsToRetire</vt:lpstr>
      <vt:lpstr>YT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cp:lastPrinted>2021-01-25T22:13:44Z</cp:lastPrinted>
  <dcterms:created xsi:type="dcterms:W3CDTF">2021-01-23T00:29:43Z</dcterms:created>
  <dcterms:modified xsi:type="dcterms:W3CDTF">2021-02-07T21:43:28Z</dcterms:modified>
</cp:coreProperties>
</file>